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D:\Игорь 2\1. Личный сайт (ИП)\Видео\Видео ролики\Стоимость конструкций дома\Стоимость перекрытий\Смета на сайт\"/>
    </mc:Choice>
  </mc:AlternateContent>
  <xr:revisionPtr revIDLastSave="0" documentId="13_ncr:1_{7650DE01-8E41-45F9-84E7-110E048509D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Холодное перекрытие" sheetId="1" r:id="rId1"/>
    <sheet name="Тёплое перекрытие" sheetId="4" r:id="rId2"/>
    <sheet name="Стоимость" sheetId="5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0" i="1" l="1"/>
  <c r="I45" i="1"/>
  <c r="J8" i="1"/>
  <c r="J49" i="1"/>
  <c r="G73" i="1" l="1"/>
  <c r="G75" i="1" l="1"/>
  <c r="J103" i="4" l="1"/>
  <c r="J61" i="4"/>
  <c r="J94" i="1"/>
  <c r="J52" i="1"/>
  <c r="J23" i="4"/>
  <c r="J22" i="4"/>
  <c r="G114" i="4" l="1"/>
  <c r="G109" i="4"/>
  <c r="G108" i="4"/>
  <c r="G118" i="4"/>
  <c r="G107" i="4" s="1"/>
  <c r="J62" i="4"/>
  <c r="G59" i="4"/>
  <c r="G54" i="4"/>
  <c r="G53" i="4"/>
  <c r="G112" i="4" l="1"/>
  <c r="G113" i="4"/>
  <c r="G31" i="4"/>
  <c r="G19" i="4" l="1"/>
  <c r="G13" i="4"/>
  <c r="G17" i="4"/>
  <c r="G12" i="4"/>
  <c r="G27" i="4"/>
  <c r="G26" i="4"/>
  <c r="G21" i="4"/>
  <c r="G20" i="4"/>
  <c r="G93" i="4"/>
  <c r="G91" i="4"/>
  <c r="G86" i="4"/>
  <c r="G84" i="4"/>
  <c r="G83" i="4"/>
  <c r="G82" i="4"/>
  <c r="G75" i="4"/>
  <c r="J73" i="4"/>
  <c r="G64" i="4"/>
  <c r="G49" i="4"/>
  <c r="J43" i="4"/>
  <c r="G34" i="4"/>
  <c r="G28" i="4" s="1"/>
  <c r="J8" i="4"/>
  <c r="J64" i="1"/>
  <c r="J37" i="1"/>
  <c r="I42" i="1" s="1"/>
  <c r="G77" i="1"/>
  <c r="G82" i="1"/>
  <c r="G74" i="1"/>
  <c r="G72" i="1" s="1"/>
  <c r="G66" i="1"/>
  <c r="G97" i="1"/>
  <c r="G92" i="1" s="1"/>
  <c r="G46" i="1"/>
  <c r="G25" i="1"/>
  <c r="G24" i="1"/>
  <c r="G21" i="1"/>
  <c r="I93" i="1" l="1"/>
  <c r="J93" i="1" s="1"/>
  <c r="I68" i="1"/>
  <c r="I89" i="1"/>
  <c r="J89" i="1" s="1"/>
  <c r="I16" i="4"/>
  <c r="J16" i="4" s="1"/>
  <c r="I21" i="4"/>
  <c r="J21" i="4" s="1"/>
  <c r="I19" i="4"/>
  <c r="I32" i="4"/>
  <c r="J32" i="4" s="1"/>
  <c r="I28" i="4"/>
  <c r="J28" i="4" s="1"/>
  <c r="I27" i="4"/>
  <c r="J27" i="4" s="1"/>
  <c r="I60" i="4"/>
  <c r="J60" i="4" s="1"/>
  <c r="I59" i="4"/>
  <c r="J59" i="4" s="1"/>
  <c r="I45" i="4"/>
  <c r="I53" i="4"/>
  <c r="J53" i="4" s="1"/>
  <c r="I46" i="4"/>
  <c r="J46" i="4" s="1"/>
  <c r="I55" i="4"/>
  <c r="J55" i="4" s="1"/>
  <c r="I52" i="4"/>
  <c r="I54" i="4"/>
  <c r="J54" i="4" s="1"/>
  <c r="J68" i="1"/>
  <c r="I75" i="1"/>
  <c r="J75" i="1" s="1"/>
  <c r="G52" i="4"/>
  <c r="G58" i="4"/>
  <c r="I78" i="1"/>
  <c r="J78" i="1" s="1"/>
  <c r="I108" i="4"/>
  <c r="J108" i="4" s="1"/>
  <c r="I113" i="4"/>
  <c r="J113" i="4" s="1"/>
  <c r="I107" i="4"/>
  <c r="J107" i="4" s="1"/>
  <c r="I116" i="4"/>
  <c r="J116" i="4" s="1"/>
  <c r="I104" i="4"/>
  <c r="J104" i="4" s="1"/>
  <c r="I115" i="4"/>
  <c r="J115" i="4" s="1"/>
  <c r="I102" i="4"/>
  <c r="J102" i="4" s="1"/>
  <c r="I114" i="4"/>
  <c r="J114" i="4" s="1"/>
  <c r="I110" i="4"/>
  <c r="J110" i="4" s="1"/>
  <c r="I109" i="4"/>
  <c r="J109" i="4" s="1"/>
  <c r="I14" i="1"/>
  <c r="J14" i="1" s="1"/>
  <c r="I26" i="1"/>
  <c r="J26" i="1" s="1"/>
  <c r="J42" i="1"/>
  <c r="I53" i="1"/>
  <c r="J53" i="1" s="1"/>
  <c r="I47" i="1"/>
  <c r="J47" i="1" s="1"/>
  <c r="I95" i="1"/>
  <c r="J95" i="1" s="1"/>
  <c r="I69" i="1"/>
  <c r="J69" i="1" s="1"/>
  <c r="I81" i="1"/>
  <c r="J81" i="1" s="1"/>
  <c r="I74" i="1"/>
  <c r="J74" i="1" s="1"/>
  <c r="I84" i="1"/>
  <c r="I17" i="4"/>
  <c r="J17" i="4" s="1"/>
  <c r="G100" i="4"/>
  <c r="I12" i="4"/>
  <c r="J12" i="4" s="1"/>
  <c r="G85" i="4"/>
  <c r="G101" i="4"/>
  <c r="G29" i="4"/>
  <c r="I13" i="4"/>
  <c r="J13" i="4" s="1"/>
  <c r="I29" i="4"/>
  <c r="J19" i="4"/>
  <c r="I20" i="4"/>
  <c r="J20" i="4" s="1"/>
  <c r="I10" i="4"/>
  <c r="J10" i="4" s="1"/>
  <c r="I11" i="4"/>
  <c r="J11" i="4" s="1"/>
  <c r="I31" i="4"/>
  <c r="J31" i="4" s="1"/>
  <c r="G81" i="4"/>
  <c r="J26" i="4"/>
  <c r="I49" i="4"/>
  <c r="J49" i="4" s="1"/>
  <c r="G57" i="4"/>
  <c r="I48" i="4"/>
  <c r="J48" i="4" s="1"/>
  <c r="I18" i="4"/>
  <c r="J18" i="4" s="1"/>
  <c r="I58" i="4"/>
  <c r="J58" i="4" s="1"/>
  <c r="I82" i="4"/>
  <c r="J82" i="4" s="1"/>
  <c r="I98" i="4"/>
  <c r="J98" i="4" s="1"/>
  <c r="I91" i="4"/>
  <c r="J91" i="4" s="1"/>
  <c r="I101" i="4"/>
  <c r="I85" i="4"/>
  <c r="I90" i="4"/>
  <c r="J90" i="4" s="1"/>
  <c r="I93" i="4"/>
  <c r="J93" i="4" s="1"/>
  <c r="I83" i="4"/>
  <c r="J83" i="4" s="1"/>
  <c r="I76" i="4"/>
  <c r="J76" i="4" s="1"/>
  <c r="I78" i="4"/>
  <c r="J78" i="4" s="1"/>
  <c r="I86" i="4"/>
  <c r="J86" i="4" s="1"/>
  <c r="J45" i="4"/>
  <c r="I47" i="4"/>
  <c r="J47" i="4" s="1"/>
  <c r="I75" i="4"/>
  <c r="J75" i="4" s="1"/>
  <c r="I77" i="4"/>
  <c r="J77" i="4" s="1"/>
  <c r="I79" i="4"/>
  <c r="J79" i="4" s="1"/>
  <c r="I84" i="4"/>
  <c r="J84" i="4" s="1"/>
  <c r="I87" i="4"/>
  <c r="J87" i="4" s="1"/>
  <c r="I92" i="4"/>
  <c r="J92" i="4" s="1"/>
  <c r="I70" i="1"/>
  <c r="I76" i="1"/>
  <c r="J76" i="1" s="1"/>
  <c r="I82" i="1"/>
  <c r="J82" i="1" s="1"/>
  <c r="I73" i="1"/>
  <c r="J73" i="1" s="1"/>
  <c r="I77" i="1"/>
  <c r="I83" i="1"/>
  <c r="J83" i="1" s="1"/>
  <c r="J77" i="1"/>
  <c r="I66" i="1"/>
  <c r="J66" i="1" s="1"/>
  <c r="I67" i="1"/>
  <c r="J67" i="1" s="1"/>
  <c r="I92" i="1"/>
  <c r="J92" i="1" s="1"/>
  <c r="J45" i="1"/>
  <c r="I50" i="1"/>
  <c r="I51" i="1"/>
  <c r="J51" i="1" s="1"/>
  <c r="I40" i="1"/>
  <c r="J40" i="1" s="1"/>
  <c r="I44" i="1"/>
  <c r="J44" i="1" s="1"/>
  <c r="I46" i="1"/>
  <c r="J46" i="1" s="1"/>
  <c r="I9" i="1"/>
  <c r="J9" i="1" s="1"/>
  <c r="I22" i="1"/>
  <c r="I16" i="1"/>
  <c r="J16" i="1" s="1"/>
  <c r="I21" i="1"/>
  <c r="J21" i="1" s="1"/>
  <c r="I24" i="1"/>
  <c r="J24" i="1" s="1"/>
  <c r="I18" i="1"/>
  <c r="J18" i="1" s="1"/>
  <c r="I25" i="1"/>
  <c r="J25" i="1" s="1"/>
  <c r="J70" i="1"/>
  <c r="G76" i="1"/>
  <c r="G84" i="1"/>
  <c r="G91" i="1"/>
  <c r="G55" i="1"/>
  <c r="G28" i="1"/>
  <c r="I23" i="1"/>
  <c r="J23" i="1" s="1"/>
  <c r="G22" i="1"/>
  <c r="I20" i="1"/>
  <c r="J20" i="1" s="1"/>
  <c r="I10" i="1"/>
  <c r="J91" i="1" l="1"/>
  <c r="J84" i="1"/>
  <c r="J80" i="1" s="1"/>
  <c r="J15" i="4"/>
  <c r="J106" i="4"/>
  <c r="J112" i="4"/>
  <c r="J52" i="4"/>
  <c r="J51" i="4" s="1"/>
  <c r="J57" i="4"/>
  <c r="J38" i="1"/>
  <c r="J44" i="4"/>
  <c r="J85" i="4"/>
  <c r="J29" i="4"/>
  <c r="J33" i="4" s="1"/>
  <c r="J35" i="4" s="1"/>
  <c r="J101" i="4"/>
  <c r="J9" i="4"/>
  <c r="J74" i="4"/>
  <c r="J89" i="4"/>
  <c r="J72" i="1"/>
  <c r="J65" i="1"/>
  <c r="G49" i="1"/>
  <c r="J50" i="1"/>
  <c r="J54" i="1" s="1"/>
  <c r="J22" i="1"/>
  <c r="J27" i="1" s="1"/>
  <c r="J25" i="4" l="1"/>
  <c r="J96" i="1"/>
  <c r="J98" i="1" s="1"/>
  <c r="J63" i="4"/>
  <c r="J65" i="4" s="1"/>
  <c r="J81" i="4"/>
  <c r="J100" i="4"/>
  <c r="J117" i="4" s="1"/>
  <c r="J119" i="4" s="1"/>
  <c r="J56" i="1"/>
  <c r="J2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Гарушин Игорь Станиславович</author>
    <author>Igor</author>
  </authors>
  <commentList>
    <comment ref="N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Стоит дороже, чем естественной влажности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0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Поперечены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10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Чтобы не испортить пол во время работ и для выравнивания поверхности, не редко выполняется черновой пол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11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Для исключения шатания перекрытия при хотьбе балки зачастую должны иметь довольно большое сечения и довольно часто стоять.</t>
        </r>
      </text>
    </comment>
    <comment ref="N12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04"/>
          </rPr>
          <t>Чтобы доски не гнили и не поддерживали горение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14" authorId="0" shapeId="0" xr:uid="{00000000-0006-0000-0000-000006000000}">
      <text>
        <r>
          <rPr>
            <b/>
            <sz val="9"/>
            <color indexed="81"/>
            <rFont val="Tahoma"/>
            <charset val="1"/>
          </rPr>
          <t>Может потребоваться возводить дополнительные стены рядом с лестницей и (или) делать балки большого сечения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N15" authorId="0" shapeId="0" xr:uid="{00000000-0006-0000-0000-000007000000}">
      <text>
        <r>
          <rPr>
            <b/>
            <sz val="9"/>
            <color indexed="81"/>
            <rFont val="Tahoma"/>
            <charset val="1"/>
          </rPr>
          <t xml:space="preserve">Пиломатериал в основном максимум идёт 6-ти метровый. </t>
        </r>
        <r>
          <rPr>
            <sz val="9"/>
            <color indexed="81"/>
            <rFont val="Tahoma"/>
            <charset val="1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Поэтому для больших пролётов потребуется применение составных или клеёных балок большого сечения</t>
        </r>
      </text>
    </comment>
    <comment ref="C21" authorId="0" shapeId="0" xr:uid="{00000000-0006-0000-0000-000008000000}">
      <text>
        <r>
          <rPr>
            <b/>
            <sz val="9"/>
            <color indexed="81"/>
            <rFont val="Tahoma"/>
            <charset val="1"/>
          </rPr>
          <t>Оборачиваются только концы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N21" authorId="0" shapeId="0" xr:uid="{00000000-0006-0000-0000-000009000000}">
      <text>
        <r>
          <rPr>
            <b/>
            <sz val="9"/>
            <color indexed="81"/>
            <rFont val="Tahoma"/>
            <charset val="1"/>
          </rPr>
          <t>Перекрытие относительно немного весит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22" authorId="0" shapeId="0" xr:uid="{00000000-0006-0000-0000-00000A000000}">
      <text>
        <r>
          <rPr>
            <b/>
            <sz val="9"/>
            <color indexed="81"/>
            <rFont val="Tahoma"/>
            <charset val="1"/>
          </rPr>
          <t>Покрывается весь пиломатериал</t>
        </r>
      </text>
    </comment>
    <comment ref="G22" authorId="0" shapeId="0" xr:uid="{00000000-0006-0000-0000-00000B000000}">
      <text>
        <r>
          <rPr>
            <b/>
            <sz val="9"/>
            <color indexed="81"/>
            <rFont val="Tahoma"/>
            <charset val="1"/>
          </rPr>
          <t>СЕНЕЖ, расход 300 г/м2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I22" authorId="0" shapeId="0" xr:uid="{00000000-0006-0000-0000-00000C000000}">
      <text>
        <r>
          <rPr>
            <b/>
            <sz val="9"/>
            <color indexed="81"/>
            <rFont val="Tahoma"/>
            <charset val="1"/>
          </rPr>
          <t>Цена: 900 р - 6 кг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N22" authorId="0" shapeId="0" xr:uid="{00000000-0006-0000-0000-00000D000000}">
      <text>
        <r>
          <rPr>
            <b/>
            <sz val="9"/>
            <color indexed="81"/>
            <rFont val="Tahoma"/>
            <charset val="1"/>
          </rPr>
          <t>Утепелитель можно спрятать между балками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23" authorId="0" shapeId="0" xr:uid="{00000000-0006-0000-0000-00000E000000}">
      <text>
        <r>
          <rPr>
            <b/>
            <sz val="9"/>
            <color indexed="81"/>
            <rFont val="Tahoma"/>
            <family val="2"/>
            <charset val="204"/>
          </rPr>
          <t>Для крепления поперечен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3" authorId="0" shapeId="0" xr:uid="{00000000-0006-0000-0000-00000F000000}">
      <text>
        <r>
          <rPr>
            <b/>
            <sz val="9"/>
            <color indexed="81"/>
            <rFont val="Tahoma"/>
            <charset val="1"/>
          </rPr>
          <t>по 8 саморезов на торцевую доску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24" authorId="0" shapeId="0" xr:uid="{00000000-0006-0000-0000-000010000000}">
      <text>
        <r>
          <rPr>
            <b/>
            <sz val="9"/>
            <color indexed="81"/>
            <rFont val="Tahoma"/>
            <charset val="1"/>
          </rPr>
          <t>Для крепления шпунтованной доски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N38" authorId="0" shapeId="0" xr:uid="{00000000-0006-0000-0000-000011000000}">
      <text>
        <r>
          <rPr>
            <b/>
            <sz val="9"/>
            <color indexed="81"/>
            <rFont val="Tahoma"/>
            <charset val="1"/>
          </rPr>
          <t>Увеличивает количество монолитных участков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N39" authorId="0" shapeId="0" xr:uid="{00000000-0006-0000-0000-000012000000}">
      <text>
        <r>
          <rPr>
            <b/>
            <sz val="9"/>
            <color indexed="81"/>
            <rFont val="Tahoma"/>
            <charset val="1"/>
          </rPr>
          <t>Может потребоваться усиление или введение монолитных участков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N40" authorId="0" shapeId="0" xr:uid="{00000000-0006-0000-0000-000013000000}">
      <text>
        <r>
          <rPr>
            <b/>
            <sz val="9"/>
            <color indexed="81"/>
            <rFont val="Tahoma"/>
            <charset val="1"/>
          </rPr>
          <t>Может потребоваться возводить дополнительные стены рядом с лестницей и (или) делать балки.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42" authorId="0" shapeId="0" xr:uid="{00000000-0006-0000-0000-000014000000}">
      <text>
        <r>
          <rPr>
            <b/>
            <sz val="9"/>
            <color indexed="81"/>
            <rFont val="Tahoma"/>
            <family val="2"/>
            <charset val="204"/>
          </rPr>
          <t>Такую плиту можно резать вдоль и наискось под углом 45 гр.</t>
        </r>
        <r>
          <rPr>
            <sz val="9"/>
            <color indexed="81"/>
            <rFont val="Tahoma"/>
            <family val="2"/>
            <charset val="204"/>
          </rPr>
          <t xml:space="preserve">
Плита с гладкой поверхностью.</t>
        </r>
      </text>
    </comment>
    <comment ref="N42" authorId="0" shapeId="0" xr:uid="{00000000-0006-0000-0000-000015000000}">
      <text>
        <r>
          <rPr>
            <b/>
            <sz val="9"/>
            <color indexed="81"/>
            <rFont val="Tahoma"/>
            <charset val="1"/>
          </rPr>
          <t>2 перекрытия - 2 раза вызывать кран. Плюс нужно найти место, где складировать плиты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N43" authorId="0" shapeId="0" xr:uid="{00000000-0006-0000-0000-000016000000}">
      <text>
        <r>
          <rPr>
            <b/>
            <sz val="9"/>
            <color indexed="81"/>
            <rFont val="Tahoma"/>
            <charset val="1"/>
          </rPr>
          <t>От количества плит зависит доставка и время работы крана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47" authorId="0" shapeId="0" xr:uid="{00000000-0006-0000-0000-000017000000}">
      <text>
        <r>
          <rPr>
            <sz val="9"/>
            <color indexed="81"/>
            <rFont val="Tahoma"/>
            <family val="2"/>
            <charset val="204"/>
          </rPr>
          <t xml:space="preserve">Раствор для укладки плит
</t>
        </r>
      </text>
    </comment>
    <comment ref="N48" authorId="0" shapeId="0" xr:uid="{00000000-0006-0000-0000-000018000000}">
      <text>
        <r>
          <rPr>
            <b/>
            <sz val="9"/>
            <color indexed="81"/>
            <rFont val="Tahoma"/>
            <family val="2"/>
            <charset val="204"/>
          </rPr>
          <t>Только придётся добавить противоморозные добавки в цементно-песчаный раствор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50" authorId="0" shapeId="0" xr:uid="{00000000-0006-0000-0000-000019000000}">
      <text>
        <r>
          <rPr>
            <b/>
            <sz val="9"/>
            <color indexed="81"/>
            <rFont val="Tahoma"/>
            <family val="2"/>
            <charset val="204"/>
          </rPr>
          <t>Расход сухой смеси
20 кг/м2/10мм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51" authorId="0" shapeId="0" xr:uid="{00000000-0006-0000-0000-00001A000000}">
      <text>
        <r>
          <rPr>
            <b/>
            <sz val="9"/>
            <color indexed="81"/>
            <rFont val="Tahoma"/>
            <family val="2"/>
            <charset val="204"/>
          </rPr>
          <t>Шаг установки 1500 мм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65" authorId="0" shapeId="0" xr:uid="{00000000-0006-0000-0000-00001B000000}">
      <text>
        <r>
          <rPr>
            <b/>
            <sz val="9"/>
            <color indexed="81"/>
            <rFont val="Tahoma"/>
            <family val="2"/>
            <charset val="204"/>
          </rPr>
          <t>Большая толщина перекрытия, могут потребоваться балки или капители.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N66" authorId="0" shapeId="0" xr:uid="{00000000-0006-0000-0000-00001C000000}">
      <text>
        <r>
          <rPr>
            <b/>
            <sz val="9"/>
            <color indexed="81"/>
            <rFont val="Tahoma"/>
            <family val="2"/>
            <charset val="204"/>
          </rPr>
          <t>Данное перекрытие сложно сделать самостоятельно без определённых навыков.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67" authorId="0" shapeId="0" xr:uid="{00000000-0006-0000-0000-00001D000000}">
      <text>
        <r>
          <rPr>
            <b/>
            <sz val="9"/>
            <color indexed="81"/>
            <rFont val="Tahoma"/>
            <family val="2"/>
            <charset val="204"/>
          </rPr>
          <t>Это может сказаться на фундаментах.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68" authorId="0" shapeId="0" xr:uid="{00000000-0006-0000-0000-00001E000000}">
      <text>
        <r>
          <rPr>
            <b/>
            <sz val="9"/>
            <color indexed="81"/>
            <rFont val="Tahoma"/>
            <family val="2"/>
            <charset val="204"/>
          </rPr>
          <t>При температуре ниже 5 градусов возводить такое перекрытие будет дорого, так как для твердения бетона придётся поддерживать положительную температуру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69" authorId="0" shapeId="0" xr:uid="{00000000-0006-0000-0000-00001F000000}">
      <text>
        <r>
          <rPr>
            <b/>
            <sz val="9"/>
            <color indexed="81"/>
            <rFont val="Tahoma"/>
            <family val="2"/>
            <charset val="204"/>
          </rPr>
          <t>Зачастую данное перекрытие получается бугристым. И для того чтобы на него сверху что-то положить, его приходится выравнивать.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73" authorId="1" shapeId="0" xr:uid="{00000000-0006-0000-0000-000020000000}">
      <text>
        <r>
          <rPr>
            <b/>
            <sz val="9"/>
            <color indexed="81"/>
            <rFont val="Tahoma"/>
            <charset val="1"/>
          </rPr>
          <t>Нижняя арматура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74" authorId="1" shapeId="0" xr:uid="{00000000-0006-0000-0000-000021000000}">
      <text>
        <r>
          <rPr>
            <b/>
            <sz val="9"/>
            <color indexed="81"/>
            <rFont val="Tahoma"/>
            <charset val="1"/>
          </rPr>
          <t>Верхняя арматура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N74" authorId="0" shapeId="0" xr:uid="{0F96DE91-99A6-42B8-9EF3-ABD66A1BCA0E}">
      <text>
        <r>
          <rPr>
            <b/>
            <sz val="9"/>
            <color indexed="81"/>
            <rFont val="Tahoma"/>
            <charset val="1"/>
          </rPr>
          <t>Здесь достаточно будет сделать стяжку 4-5 см.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75" authorId="0" shapeId="0" xr:uid="{00000000-0006-0000-0000-000022000000}">
      <text>
        <r>
          <rPr>
            <b/>
            <sz val="9"/>
            <color indexed="81"/>
            <rFont val="Tahoma"/>
            <charset val="1"/>
          </rPr>
          <t>Лягушки L=840 мм - 147 шт
Торцевая анкеровка (П-образный элемент) L=620 мм - 150 шт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76" authorId="0" shapeId="0" xr:uid="{00000000-0006-0000-0000-000024000000}">
      <text>
        <r>
          <rPr>
            <b/>
            <sz val="9"/>
            <color indexed="81"/>
            <rFont val="Tahoma"/>
            <family val="2"/>
            <charset val="204"/>
          </rPr>
          <t>Расход проволоки на 1 узел - 0,25 м
Количество узлов на 1 м2 - 2х25 = 50 шт
Вяжется каждое пересечение.</t>
        </r>
        <r>
          <rPr>
            <sz val="9"/>
            <color indexed="81"/>
            <rFont val="Tahoma"/>
            <family val="2"/>
            <charset val="204"/>
          </rPr>
          <t xml:space="preserve">
Вязка торцов и лягушек учтена коэффициентом 1,2</t>
        </r>
      </text>
    </comment>
    <comment ref="N76" authorId="0" shapeId="0" xr:uid="{0473F6CB-43E6-47A2-A1DA-8F94282C156B}">
      <text>
        <r>
          <rPr>
            <b/>
            <sz val="9"/>
            <color indexed="81"/>
            <rFont val="Tahoma"/>
            <family val="2"/>
            <charset val="204"/>
          </rPr>
          <t>За счет единой конструкции и большего по сравнению со сорными плитами защитного слоя</t>
        </r>
      </text>
    </comment>
    <comment ref="C77" authorId="0" shapeId="0" xr:uid="{00000000-0006-0000-0000-000025000000}">
      <text>
        <r>
          <rPr>
            <b/>
            <sz val="9"/>
            <color indexed="81"/>
            <rFont val="Tahoma"/>
            <family val="2"/>
            <charset val="204"/>
          </rPr>
          <t>Расход 6 шт/м2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77" authorId="0" shapeId="0" xr:uid="{EB95EAFA-92D5-4C63-BA2A-ACACEDC4B396}">
      <text>
        <r>
          <rPr>
            <b/>
            <sz val="9"/>
            <color indexed="81"/>
            <rFont val="Tahoma"/>
            <family val="2"/>
            <charset val="204"/>
          </rPr>
          <t xml:space="preserve">За счёт большого защитного слоя </t>
        </r>
      </text>
    </comment>
    <comment ref="N80" authorId="0" shapeId="0" xr:uid="{BD62AD18-D6DF-498F-AE98-74E54E185F24}">
      <text>
        <r>
          <rPr>
            <b/>
            <sz val="9"/>
            <color indexed="81"/>
            <rFont val="Tahoma"/>
            <family val="2"/>
            <charset val="204"/>
          </rPr>
          <t>При использовании такого перекрытия и при правильном проведении штукатурных работ, существует максимальная вероятность отсутствия трещин на потолке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82" authorId="0" shapeId="0" xr:uid="{00000000-0006-0000-0000-000029000000}">
      <text>
        <r>
          <rPr>
            <b/>
            <sz val="9"/>
            <color indexed="81"/>
            <rFont val="Tahoma"/>
            <charset val="1"/>
          </rPr>
          <t>Крепление опалубки</t>
        </r>
        <r>
          <rPr>
            <sz val="9"/>
            <color indexed="81"/>
            <rFont val="Tahoma"/>
            <charset val="1"/>
          </rPr>
          <t xml:space="preserve">
4 шт на лист</t>
        </r>
      </text>
    </comment>
    <comment ref="C84" authorId="0" shapeId="0" xr:uid="{00000000-0006-0000-0000-00002A000000}">
      <text>
        <r>
          <rPr>
            <b/>
            <sz val="9"/>
            <color indexed="81"/>
            <rFont val="Tahoma"/>
            <family val="2"/>
            <charset val="204"/>
          </rPr>
          <t>Срок: 1 месяц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92" authorId="0" shapeId="0" xr:uid="{00000000-0006-0000-0000-00002B000000}">
      <text>
        <r>
          <rPr>
            <b/>
            <sz val="9"/>
            <color indexed="81"/>
            <rFont val="Tahoma"/>
            <family val="2"/>
            <charset val="204"/>
          </rPr>
          <t>Расход сухой смеси
20 кг/м2/10мм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93" authorId="0" shapeId="0" xr:uid="{00000000-0006-0000-0000-00002C000000}">
      <text>
        <r>
          <rPr>
            <b/>
            <sz val="9"/>
            <color indexed="81"/>
            <rFont val="Tahoma"/>
            <family val="2"/>
            <charset val="204"/>
          </rPr>
          <t>Шаг установки 1500 мм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Гарушин Игорь Станиславович</author>
  </authors>
  <commentList>
    <comment ref="C10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04"/>
          </rPr>
          <t>Несущие балки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1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04"/>
          </rPr>
          <t>Поперечены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2" authorId="0" shapeId="0" xr:uid="{00000000-0006-0000-0100-000003000000}">
      <text>
        <r>
          <rPr>
            <b/>
            <sz val="9"/>
            <color indexed="81"/>
            <rFont val="Tahoma"/>
            <charset val="1"/>
          </rPr>
          <t>Оборачиваются только концы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3" authorId="0" shapeId="0" xr:uid="{00000000-0006-0000-0100-000004000000}">
      <text>
        <r>
          <rPr>
            <b/>
            <sz val="9"/>
            <color indexed="81"/>
            <rFont val="Tahoma"/>
            <family val="2"/>
            <charset val="204"/>
          </rPr>
          <t>Для крепления поперечен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13" authorId="0" shapeId="0" xr:uid="{00000000-0006-0000-0100-000005000000}">
      <text>
        <r>
          <rPr>
            <b/>
            <sz val="9"/>
            <color indexed="81"/>
            <rFont val="Tahoma"/>
            <charset val="1"/>
          </rPr>
          <t>по 8 саморезов на торцевую доску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 shapeId="0" xr:uid="{00000000-0006-0000-0100-000006000000}">
      <text>
        <r>
          <rPr>
            <b/>
            <sz val="9"/>
            <color indexed="81"/>
            <rFont val="Tahoma"/>
            <charset val="1"/>
          </rPr>
          <t>Для крепления шпунтованной доски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 shapeId="0" xr:uid="{00000000-0006-0000-0100-000007000000}">
      <text>
        <r>
          <rPr>
            <b/>
            <sz val="9"/>
            <color indexed="81"/>
            <rFont val="Tahoma"/>
            <family val="2"/>
            <charset val="204"/>
          </rPr>
          <t>Черновой пол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9" authorId="0" shapeId="0" xr:uid="{00000000-0006-0000-0100-000008000000}">
      <text>
        <r>
          <rPr>
            <b/>
            <sz val="9"/>
            <color indexed="81"/>
            <rFont val="Tahoma"/>
            <family val="2"/>
            <charset val="204"/>
          </rPr>
          <t>Для крепления обрезной доски 50х150 мм
Расход - 20 шт/доска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0" authorId="0" shapeId="0" xr:uid="{00000000-0006-0000-0100-000009000000}">
      <text>
        <r>
          <rPr>
            <b/>
            <sz val="9"/>
            <color indexed="81"/>
            <rFont val="Tahoma"/>
            <family val="2"/>
            <charset val="204"/>
          </rPr>
          <t>Нахлест 15 см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1" authorId="0" shapeId="0" xr:uid="{00000000-0006-0000-0100-00000A000000}">
      <text>
        <r>
          <rPr>
            <b/>
            <sz val="9"/>
            <color indexed="81"/>
            <rFont val="Tahoma"/>
            <family val="2"/>
            <charset val="204"/>
          </rPr>
          <t>Жёсткая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2" authorId="0" shapeId="0" xr:uid="{00000000-0006-0000-0100-00000B000000}">
      <text>
        <r>
          <rPr>
            <b/>
            <sz val="9"/>
            <color indexed="81"/>
            <rFont val="Tahoma"/>
            <family val="2"/>
            <charset val="204"/>
          </rPr>
          <t>Контррейка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3" authorId="0" shapeId="0" xr:uid="{00000000-0006-0000-0100-00000C000000}">
      <text>
        <r>
          <rPr>
            <b/>
            <sz val="9"/>
            <color indexed="81"/>
            <rFont val="Tahoma"/>
            <family val="2"/>
            <charset val="204"/>
          </rPr>
          <t>Для крепления контрреек</t>
        </r>
      </text>
    </comment>
    <comment ref="C26" authorId="0" shapeId="0" xr:uid="{00000000-0006-0000-0100-00000D000000}">
      <text>
        <r>
          <rPr>
            <b/>
            <sz val="9"/>
            <color indexed="81"/>
            <rFont val="Tahoma"/>
            <family val="2"/>
            <charset val="204"/>
          </rPr>
          <t>Шаг 600 мм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7" authorId="0" shapeId="0" xr:uid="{00000000-0006-0000-0100-00000E000000}">
      <text>
        <r>
          <rPr>
            <b/>
            <sz val="9"/>
            <color indexed="81"/>
            <rFont val="Tahoma"/>
            <family val="2"/>
            <charset val="204"/>
          </rPr>
          <t>Нахлест 15 см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9" authorId="0" shapeId="0" xr:uid="{00000000-0006-0000-0100-00000F000000}">
      <text>
        <r>
          <rPr>
            <b/>
            <sz val="9"/>
            <color indexed="81"/>
            <rFont val="Tahoma"/>
            <family val="2"/>
            <charset val="204"/>
          </rPr>
          <t>Расход:
- на ГКЛ - 34 шт/м2
- на доску 20х96 - 10 шт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31" authorId="0" shapeId="0" xr:uid="{00000000-0006-0000-0100-000010000000}">
      <text>
        <r>
          <rPr>
            <b/>
            <sz val="9"/>
            <color indexed="81"/>
            <rFont val="Tahoma"/>
            <charset val="1"/>
          </rPr>
          <t>Покрываются только балки и обрезная доска сверху</t>
        </r>
      </text>
    </comment>
    <comment ref="G31" authorId="0" shapeId="0" xr:uid="{00000000-0006-0000-0100-000011000000}">
      <text>
        <r>
          <rPr>
            <b/>
            <sz val="9"/>
            <color indexed="81"/>
            <rFont val="Tahoma"/>
            <charset val="1"/>
          </rPr>
          <t>СЕНЕЖ, расход 300 г/м2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I31" authorId="0" shapeId="0" xr:uid="{00000000-0006-0000-0100-000012000000}">
      <text>
        <r>
          <rPr>
            <b/>
            <sz val="9"/>
            <color indexed="81"/>
            <rFont val="Tahoma"/>
            <charset val="1"/>
          </rPr>
          <t>Цена: 900 р - 6 кг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45" authorId="0" shapeId="0" xr:uid="{00000000-0006-0000-0100-000013000000}">
      <text>
        <r>
          <rPr>
            <b/>
            <sz val="9"/>
            <color indexed="81"/>
            <rFont val="Tahoma"/>
            <family val="2"/>
            <charset val="204"/>
          </rPr>
          <t>Такую плиту можно резать вдоль и наискось под углом 45 гр.</t>
        </r>
        <r>
          <rPr>
            <sz val="9"/>
            <color indexed="81"/>
            <rFont val="Tahoma"/>
            <family val="2"/>
            <charset val="204"/>
          </rPr>
          <t xml:space="preserve">
Плита с гладкой поверхностью.</t>
        </r>
      </text>
    </comment>
    <comment ref="C46" authorId="0" shapeId="0" xr:uid="{00000000-0006-0000-0100-000014000000}">
      <text>
        <r>
          <rPr>
            <sz val="9"/>
            <color indexed="81"/>
            <rFont val="Tahoma"/>
            <family val="2"/>
            <charset val="204"/>
          </rPr>
          <t xml:space="preserve">Раствор для укладки плит
</t>
        </r>
      </text>
    </comment>
    <comment ref="C52" authorId="0" shapeId="0" xr:uid="{00000000-0006-0000-0100-000015000000}">
      <text>
        <r>
          <rPr>
            <b/>
            <sz val="9"/>
            <color indexed="81"/>
            <rFont val="Tahoma"/>
            <family val="2"/>
            <charset val="204"/>
          </rPr>
          <t>Жёсткая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53" authorId="0" shapeId="0" xr:uid="{00000000-0006-0000-0100-000016000000}">
      <text>
        <r>
          <rPr>
            <b/>
            <sz val="9"/>
            <color indexed="81"/>
            <rFont val="Tahoma"/>
            <family val="2"/>
            <charset val="204"/>
          </rPr>
          <t>Нахлест 15 см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54" authorId="0" shapeId="0" xr:uid="{00000000-0006-0000-0100-000017000000}">
      <text>
        <r>
          <rPr>
            <b/>
            <sz val="9"/>
            <color indexed="81"/>
            <rFont val="Tahoma"/>
            <family val="2"/>
            <charset val="204"/>
          </rPr>
          <t>Нахлест 15 см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58" authorId="0" shapeId="0" xr:uid="{00000000-0006-0000-0100-000018000000}">
      <text>
        <r>
          <rPr>
            <b/>
            <sz val="9"/>
            <color indexed="81"/>
            <rFont val="Tahoma"/>
            <family val="2"/>
            <charset val="204"/>
          </rPr>
          <t>Расход сухой смеси
20 кг/м2/10мм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59" authorId="0" shapeId="0" xr:uid="{00000000-0006-0000-0100-000019000000}">
      <text>
        <r>
          <rPr>
            <b/>
            <sz val="9"/>
            <color indexed="81"/>
            <rFont val="Tahoma"/>
            <charset val="1"/>
          </rPr>
          <t xml:space="preserve">Шаг арматуры - 200 мм
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60" authorId="0" shapeId="0" xr:uid="{00000000-0006-0000-0100-00001A000000}">
      <text>
        <r>
          <rPr>
            <b/>
            <sz val="9"/>
            <color indexed="81"/>
            <rFont val="Tahoma"/>
            <family val="2"/>
            <charset val="204"/>
          </rPr>
          <t>Шаг установки 1500 мм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62" authorId="0" shapeId="0" xr:uid="{00000000-0006-0000-0100-00001B000000}">
      <text>
        <r>
          <rPr>
            <b/>
            <sz val="9"/>
            <color indexed="81"/>
            <rFont val="Tahoma"/>
            <family val="2"/>
            <charset val="204"/>
          </rPr>
          <t>Доставка арматуры - 10000 р.
Доставка мешков с цементом - 10000 р.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82" authorId="0" shapeId="0" xr:uid="{00000000-0006-0000-0100-00001C000000}">
      <text>
        <r>
          <rPr>
            <b/>
            <sz val="9"/>
            <color indexed="81"/>
            <rFont val="Tahoma"/>
            <family val="2"/>
            <charset val="204"/>
          </rPr>
          <t>Шаг арматуры 200х200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83" authorId="0" shapeId="0" xr:uid="{00000000-0006-0000-0100-00001D000000}">
      <text>
        <r>
          <rPr>
            <b/>
            <sz val="9"/>
            <color indexed="81"/>
            <rFont val="Tahoma"/>
            <family val="2"/>
            <charset val="204"/>
          </rPr>
          <t>Шаг арматуры 200х200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84" authorId="0" shapeId="0" xr:uid="{00000000-0006-0000-0100-00001E000000}">
      <text>
        <r>
          <rPr>
            <b/>
            <sz val="9"/>
            <color indexed="81"/>
            <rFont val="Tahoma"/>
            <charset val="1"/>
          </rPr>
          <t>Лягушки L=820 мм - 137 шт
Торцевая анкеровка L=620 мм - 150 шт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85" authorId="0" shapeId="0" xr:uid="{00000000-0006-0000-0100-00001F000000}">
      <text>
        <r>
          <rPr>
            <b/>
            <sz val="9"/>
            <color indexed="81"/>
            <rFont val="Tahoma"/>
            <family val="2"/>
            <charset val="204"/>
          </rPr>
          <t>Расход проволоки на 1 узел - 0,25 м
Количество узлов на 1 м2 - 2х25 = 50 шт
Вяжется каждое пересечение.</t>
        </r>
        <r>
          <rPr>
            <sz val="9"/>
            <color indexed="81"/>
            <rFont val="Tahoma"/>
            <family val="2"/>
            <charset val="204"/>
          </rPr>
          <t xml:space="preserve">
Вязка торцов и лягушек учтена коэффициентом 1,2 м</t>
        </r>
      </text>
    </comment>
    <comment ref="C86" authorId="0" shapeId="0" xr:uid="{00000000-0006-0000-0100-000020000000}">
      <text>
        <r>
          <rPr>
            <b/>
            <sz val="9"/>
            <color indexed="81"/>
            <rFont val="Tahoma"/>
            <family val="2"/>
            <charset val="204"/>
          </rPr>
          <t>Расход 6 шт/м2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91" authorId="0" shapeId="0" xr:uid="{00000000-0006-0000-0100-000021000000}">
      <text>
        <r>
          <rPr>
            <b/>
            <sz val="9"/>
            <color indexed="81"/>
            <rFont val="Tahoma"/>
            <charset val="1"/>
          </rPr>
          <t>Крепление опалубки</t>
        </r>
        <r>
          <rPr>
            <sz val="9"/>
            <color indexed="81"/>
            <rFont val="Tahoma"/>
            <charset val="1"/>
          </rPr>
          <t xml:space="preserve">
4 шт на лист</t>
        </r>
      </text>
    </comment>
    <comment ref="C93" authorId="0" shapeId="0" xr:uid="{00000000-0006-0000-0100-000022000000}">
      <text>
        <r>
          <rPr>
            <b/>
            <sz val="9"/>
            <color indexed="81"/>
            <rFont val="Tahoma"/>
            <family val="2"/>
            <charset val="204"/>
          </rPr>
          <t>Срок: 1 месяц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01" authorId="0" shapeId="0" xr:uid="{00000000-0006-0000-0100-000023000000}">
      <text>
        <r>
          <rPr>
            <b/>
            <sz val="9"/>
            <color indexed="81"/>
            <rFont val="Tahoma"/>
            <family val="2"/>
            <charset val="204"/>
          </rPr>
          <t>Расход сухой смеси
20 кг/м2/10мм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02" authorId="0" shapeId="0" xr:uid="{00000000-0006-0000-0100-000024000000}">
      <text>
        <r>
          <rPr>
            <b/>
            <sz val="9"/>
            <color indexed="81"/>
            <rFont val="Tahoma"/>
            <family val="2"/>
            <charset val="204"/>
          </rPr>
          <t>Шаг установки 1500 мм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04" authorId="0" shapeId="0" xr:uid="{00000000-0006-0000-0100-000025000000}">
      <text>
        <r>
          <rPr>
            <b/>
            <sz val="9"/>
            <color indexed="81"/>
            <rFont val="Tahoma"/>
            <family val="2"/>
            <charset val="204"/>
          </rPr>
          <t>Общая стоимость за доставку цемента на стяжки составляет - 10000 р.
С учётом стяжки над и под утеплителем.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07" authorId="0" shapeId="0" xr:uid="{00000000-0006-0000-0100-000026000000}">
      <text>
        <r>
          <rPr>
            <b/>
            <sz val="9"/>
            <color indexed="81"/>
            <rFont val="Tahoma"/>
            <family val="2"/>
            <charset val="204"/>
          </rPr>
          <t>Жёсткая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08" authorId="0" shapeId="0" xr:uid="{00000000-0006-0000-0100-000027000000}">
      <text>
        <r>
          <rPr>
            <b/>
            <sz val="9"/>
            <color indexed="81"/>
            <rFont val="Tahoma"/>
            <family val="2"/>
            <charset val="204"/>
          </rPr>
          <t>Нахлест 15 см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09" authorId="0" shapeId="0" xr:uid="{00000000-0006-0000-0100-000028000000}">
      <text>
        <r>
          <rPr>
            <b/>
            <sz val="9"/>
            <color indexed="81"/>
            <rFont val="Tahoma"/>
            <family val="2"/>
            <charset val="204"/>
          </rPr>
          <t>Нахлест 15 см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13" authorId="0" shapeId="0" xr:uid="{00000000-0006-0000-0100-000029000000}">
      <text>
        <r>
          <rPr>
            <b/>
            <sz val="9"/>
            <color indexed="81"/>
            <rFont val="Tahoma"/>
            <family val="2"/>
            <charset val="204"/>
          </rPr>
          <t>Расход сухой смеси
20 кг/м2/10мм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14" authorId="0" shapeId="0" xr:uid="{00000000-0006-0000-0100-00002A000000}">
      <text>
        <r>
          <rPr>
            <b/>
            <sz val="9"/>
            <color indexed="81"/>
            <rFont val="Tahoma"/>
            <charset val="1"/>
          </rPr>
          <t>Шаг арматуры - 200 мм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15" authorId="0" shapeId="0" xr:uid="{00000000-0006-0000-0100-00002B000000}">
      <text>
        <r>
          <rPr>
            <b/>
            <sz val="9"/>
            <color indexed="81"/>
            <rFont val="Tahoma"/>
            <family val="2"/>
            <charset val="204"/>
          </rPr>
          <t>Шаг установки 1500 мм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<sst xmlns="http://schemas.openxmlformats.org/spreadsheetml/2006/main" count="517" uniqueCount="178">
  <si>
    <t>№</t>
  </si>
  <si>
    <t>Наименование</t>
  </si>
  <si>
    <t>Элементы</t>
  </si>
  <si>
    <t>Ед. изм.</t>
  </si>
  <si>
    <t>Кол-во</t>
  </si>
  <si>
    <t>Стомость, руб</t>
  </si>
  <si>
    <t>Сумма, руб</t>
  </si>
  <si>
    <t>Высота (толщина), мм</t>
  </si>
  <si>
    <t>ДЕРЕВЯННОЕ ПЕРЕКРЫТИЕ</t>
  </si>
  <si>
    <t>МЕЖДУЭТАЖНОЕ</t>
  </si>
  <si>
    <t>шт</t>
  </si>
  <si>
    <t>Ширина, мм</t>
  </si>
  <si>
    <t>Длина, мм</t>
  </si>
  <si>
    <t>Коэффициент инфляции</t>
  </si>
  <si>
    <t>Брус обрезной (сосна, сорт 1)</t>
  </si>
  <si>
    <t>Доска обрезная (сосна, сорт 1)</t>
  </si>
  <si>
    <t>Доска шпунтованная (лиственница, сорт АВ)</t>
  </si>
  <si>
    <t>Доска сухая строганая (сосна, сорт АВ)</t>
  </si>
  <si>
    <t>Рулонная гидроизоляция</t>
  </si>
  <si>
    <t>м2</t>
  </si>
  <si>
    <t>Огнебиозащита</t>
  </si>
  <si>
    <t>Саморез о дереву 4,2х70</t>
  </si>
  <si>
    <t>Шуруп по дереву с потайной головкой желт. 5х100</t>
  </si>
  <si>
    <t>Саморез о дереву 3,5х41</t>
  </si>
  <si>
    <t>Доставка</t>
  </si>
  <si>
    <t>ИТОГО:</t>
  </si>
  <si>
    <t>Площадь перекрытия</t>
  </si>
  <si>
    <t>Стоимость 1 м2 перекрытия:</t>
  </si>
  <si>
    <t>СБОРНОЕ ЖЕЛЕЗОБЕТОННОЕ ПЕРЕКРЫТИЕ</t>
  </si>
  <si>
    <t>Цементно-песчаная стяжка:</t>
  </si>
  <si>
    <t>м3</t>
  </si>
  <si>
    <t>Цементно-песчаная смесь М150 (40 кг)</t>
  </si>
  <si>
    <t>Аренда крана</t>
  </si>
  <si>
    <t>часа</t>
  </si>
  <si>
    <t>Плита перекрытия ПК 60-15-8 (ГОСТ 9561-2016)</t>
  </si>
  <si>
    <t>Маяк строительный (оцинкованный)</t>
  </si>
  <si>
    <r>
      <t xml:space="preserve">Анкера (Арматура </t>
    </r>
    <r>
      <rPr>
        <sz val="11"/>
        <rFont val="Symbol"/>
        <family val="1"/>
        <charset val="2"/>
      </rPr>
      <t>Æ</t>
    </r>
    <r>
      <rPr>
        <sz val="11"/>
        <rFont val="Calibri"/>
        <family val="2"/>
        <charset val="204"/>
      </rPr>
      <t xml:space="preserve"> </t>
    </r>
    <r>
      <rPr>
        <sz val="11"/>
        <rFont val="Calibri"/>
        <family val="2"/>
        <charset val="204"/>
        <scheme val="minor"/>
      </rPr>
      <t>10 А240 L=650 мм)</t>
    </r>
  </si>
  <si>
    <t>м</t>
  </si>
  <si>
    <t>МОНОЛИТНОЕ ЖЕЛЕЗОБЕТОННОЕ ПЕРЕКРЫТИЕ</t>
  </si>
  <si>
    <r>
      <t xml:space="preserve">Арматура </t>
    </r>
    <r>
      <rPr>
        <sz val="11"/>
        <color theme="1"/>
        <rFont val="Symbol"/>
        <family val="1"/>
        <charset val="2"/>
      </rPr>
      <t>Æ</t>
    </r>
    <r>
      <rPr>
        <sz val="11"/>
        <color theme="1"/>
        <rFont val="Calibri"/>
        <family val="2"/>
        <charset val="204"/>
        <scheme val="minor"/>
      </rPr>
      <t xml:space="preserve"> 10 А400</t>
    </r>
  </si>
  <si>
    <t>Бетон В25</t>
  </si>
  <si>
    <r>
      <t xml:space="preserve">Арматура </t>
    </r>
    <r>
      <rPr>
        <sz val="11"/>
        <color theme="1"/>
        <rFont val="Symbol"/>
        <family val="1"/>
        <charset val="2"/>
      </rPr>
      <t>Æ</t>
    </r>
    <r>
      <rPr>
        <sz val="11"/>
        <color theme="1"/>
        <rFont val="Calibri"/>
        <family val="2"/>
        <charset val="204"/>
        <scheme val="minor"/>
      </rPr>
      <t xml:space="preserve"> 14 А400</t>
    </r>
  </si>
  <si>
    <r>
      <t xml:space="preserve">Арматура </t>
    </r>
    <r>
      <rPr>
        <sz val="11"/>
        <color theme="1"/>
        <rFont val="Symbol"/>
        <family val="1"/>
        <charset val="2"/>
      </rPr>
      <t xml:space="preserve">Æ </t>
    </r>
    <r>
      <rPr>
        <sz val="11"/>
        <color theme="1"/>
        <rFont val="Calibri"/>
        <family val="2"/>
        <charset val="204"/>
        <scheme val="minor"/>
      </rPr>
      <t>8 А400</t>
    </r>
  </si>
  <si>
    <t>Опалубка:</t>
  </si>
  <si>
    <t>Ламинированная фанера</t>
  </si>
  <si>
    <t>т</t>
  </si>
  <si>
    <t>1 вариант</t>
  </si>
  <si>
    <t>Бетон В25 (пусковая смесь)</t>
  </si>
  <si>
    <t>2 вариант</t>
  </si>
  <si>
    <t>Бетонирование:</t>
  </si>
  <si>
    <t>Армирование:</t>
  </si>
  <si>
    <t>Логистика (привоз/отвоз)</t>
  </si>
  <si>
    <t>Аренда комплекта:</t>
  </si>
  <si>
    <t>- Стойка телескопическая</t>
  </si>
  <si>
    <t>- Ригель БДК для опалубки</t>
  </si>
  <si>
    <t>- Унивилка не регулируемая</t>
  </si>
  <si>
    <t>- Тренога (для поддержки стойки)</t>
  </si>
  <si>
    <t>Аренда бетононасоса</t>
  </si>
  <si>
    <t>Вязальная проволока 1,2 мм</t>
  </si>
  <si>
    <t>Гвозди 2х40 мм</t>
  </si>
  <si>
    <t>кг</t>
  </si>
  <si>
    <t>Монтажная пена</t>
  </si>
  <si>
    <t>Пол:</t>
  </si>
  <si>
    <t>дн.</t>
  </si>
  <si>
    <t>Аренда вибратора для бетона</t>
  </si>
  <si>
    <t>Доска шпунтованная (сосна, сорт АВ)</t>
  </si>
  <si>
    <t>3 вариант</t>
  </si>
  <si>
    <t>3.1</t>
  </si>
  <si>
    <t>3.2</t>
  </si>
  <si>
    <t>3.3</t>
  </si>
  <si>
    <t>Фиксатор арматуры (стульчик)</t>
  </si>
  <si>
    <t>Доставка пиломатериала</t>
  </si>
  <si>
    <t xml:space="preserve">Доставка </t>
  </si>
  <si>
    <t>1.1</t>
  </si>
  <si>
    <t>1.2</t>
  </si>
  <si>
    <t>1.3</t>
  </si>
  <si>
    <t>1.4</t>
  </si>
  <si>
    <t>1.5</t>
  </si>
  <si>
    <t>2.1</t>
  </si>
  <si>
    <t>2.2</t>
  </si>
  <si>
    <t>2.3</t>
  </si>
  <si>
    <t>2.4</t>
  </si>
  <si>
    <t>2.5</t>
  </si>
  <si>
    <t>2.6</t>
  </si>
  <si>
    <t>3.4</t>
  </si>
  <si>
    <t>3.5</t>
  </si>
  <si>
    <t>4.1</t>
  </si>
  <si>
    <t>4.2</t>
  </si>
  <si>
    <t>5.1</t>
  </si>
  <si>
    <t>5.2</t>
  </si>
  <si>
    <t>Плита перекрытия ПБ 60-15-8 (ГОСТ 9561-2016)</t>
  </si>
  <si>
    <t xml:space="preserve">Курс доллара, руб </t>
  </si>
  <si>
    <t>Подшивка снизу:</t>
  </si>
  <si>
    <t>Диффузная мембрана</t>
  </si>
  <si>
    <t>Минеральная плита</t>
  </si>
  <si>
    <t>ЧЕРДАЧНОЕ</t>
  </si>
  <si>
    <t>Пароизоляция</t>
  </si>
  <si>
    <t>Гипсокартон влагостойкий - 2 слоя</t>
  </si>
  <si>
    <t>Несущие конструкции:</t>
  </si>
  <si>
    <t>Саморез о дереву 4,8х100</t>
  </si>
  <si>
    <t>Армированная цементно-песчаная стяжка:</t>
  </si>
  <si>
    <t>Монтаж плит перекрытия:</t>
  </si>
  <si>
    <t>1.6</t>
  </si>
  <si>
    <t>Цементно-песчаная стяжка (под утеплителем):</t>
  </si>
  <si>
    <t>Утепление:</t>
  </si>
  <si>
    <t>Гидроизоляционная мембрана</t>
  </si>
  <si>
    <t>5.3</t>
  </si>
  <si>
    <r>
      <t xml:space="preserve">Арматура </t>
    </r>
    <r>
      <rPr>
        <sz val="11"/>
        <color theme="1"/>
        <rFont val="Symbol"/>
        <family val="1"/>
        <charset val="2"/>
      </rPr>
      <t xml:space="preserve">Æ </t>
    </r>
    <r>
      <rPr>
        <sz val="11"/>
        <color theme="1"/>
        <rFont val="Calibri"/>
        <family val="2"/>
        <charset val="204"/>
        <scheme val="minor"/>
      </rPr>
      <t>6 А400</t>
    </r>
  </si>
  <si>
    <t>5.4</t>
  </si>
  <si>
    <t>4.3</t>
  </si>
  <si>
    <t>6.1</t>
  </si>
  <si>
    <t>6.2</t>
  </si>
  <si>
    <t>6.3</t>
  </si>
  <si>
    <t>6.4</t>
  </si>
  <si>
    <t>Армированная цементно-песчаная стяжка (по утеплителю):</t>
  </si>
  <si>
    <r>
      <rPr>
        <b/>
        <sz val="11"/>
        <color theme="1"/>
        <rFont val="Arial"/>
        <family val="2"/>
        <charset val="204"/>
      </rPr>
      <t>▲</t>
    </r>
    <r>
      <rPr>
        <b/>
        <sz val="11"/>
        <color theme="1"/>
        <rFont val="Calibri"/>
        <family val="2"/>
        <charset val="204"/>
      </rPr>
      <t xml:space="preserve"> ФАКТОРЫ, ВЛИЯЮЩИЕ НА ПОВЫШЕНИЕ ЦЕНЫ</t>
    </r>
  </si>
  <si>
    <t>ОСНОВНЫЕ МОМЕНТЫ</t>
  </si>
  <si>
    <t>Использование только сухого строганного пиломатериала</t>
  </si>
  <si>
    <t>Сложность конфигурации перекрытия</t>
  </si>
  <si>
    <t>Количество отверстий</t>
  </si>
  <si>
    <t>Способ подхода лестницы к перекрытию</t>
  </si>
  <si>
    <t>Устройство чернового пола</t>
  </si>
  <si>
    <t>2.7</t>
  </si>
  <si>
    <t>2.8</t>
  </si>
  <si>
    <t>Саморез о дереву 3,5х55</t>
  </si>
  <si>
    <t>п.м</t>
  </si>
  <si>
    <t>Лента кромочная "демпферная" для стяжки, 8х50 мм</t>
  </si>
  <si>
    <t>4.4</t>
  </si>
  <si>
    <t>Необходимость монолитного пояса в домах из ячеистого бетона</t>
  </si>
  <si>
    <t>Исключение батутности</t>
  </si>
  <si>
    <t>Обработка огнебиозащитой</t>
  </si>
  <si>
    <r>
      <rPr>
        <b/>
        <sz val="11"/>
        <color theme="1"/>
        <rFont val="Arial"/>
        <family val="2"/>
        <charset val="204"/>
      </rPr>
      <t xml:space="preserve">● </t>
    </r>
    <r>
      <rPr>
        <b/>
        <sz val="11"/>
        <color theme="1"/>
        <rFont val="Calibri"/>
        <family val="2"/>
        <charset val="204"/>
      </rPr>
      <t>УМЕСТНОСТЬ И ЦЕЛЕСООБРАЗНОСТЬ ПРИМЕНЕНИЯ</t>
    </r>
  </si>
  <si>
    <t>Строительство вёдется самостоятельно</t>
  </si>
  <si>
    <t>Очень много отверстий шириной до 600 мм</t>
  </si>
  <si>
    <t>Деревянное сооружение</t>
  </si>
  <si>
    <t>Экономия средств</t>
  </si>
  <si>
    <t>Быстрота возведения</t>
  </si>
  <si>
    <t>Перекрытие пролетов до 12 м без дополнительных опор</t>
  </si>
  <si>
    <t>Плохие грунты или безрасчётные фундаменты</t>
  </si>
  <si>
    <t>Самое надёжное перекрытие</t>
  </si>
  <si>
    <t>Пролёт более 5,7 м</t>
  </si>
  <si>
    <t>Можно перекрыть без особых проблем помещения любой конфигурации</t>
  </si>
  <si>
    <t>Пролёты более 6 м</t>
  </si>
  <si>
    <t>Лестницу можно расположить в любом месте</t>
  </si>
  <si>
    <t>Если нет желания считать или тратиться на расчётчика</t>
  </si>
  <si>
    <t>В домах из ячеистого бетона не обязательно под перекрытием выполнять монолитный пояс</t>
  </si>
  <si>
    <t>Максимальная пожаробезопасность</t>
  </si>
  <si>
    <t>Привлечение наёмной силы</t>
  </si>
  <si>
    <t>Большой вес</t>
  </si>
  <si>
    <t>Перекрытие над техподпольем</t>
  </si>
  <si>
    <t>Работы в зимний период</t>
  </si>
  <si>
    <t>Проведение работ в зимний период</t>
  </si>
  <si>
    <t>Требуется выравнивающая стяжка или шлифование</t>
  </si>
  <si>
    <t>Нет необходимости вызывать кран</t>
  </si>
  <si>
    <t>Большое количество плит</t>
  </si>
  <si>
    <t>Количество перекрытий больше 2-х</t>
  </si>
  <si>
    <t>На потолке будет штукатурка</t>
  </si>
  <si>
    <t>Уменьшение толщины общего "пирога" перекрытия</t>
  </si>
  <si>
    <t>Можно делать большое количество отверстий больше 600х600 мм</t>
  </si>
  <si>
    <t>При небольших пролетах может иметь минимальную толщину</t>
  </si>
  <si>
    <t>МЕЖДУЭТАЖНОЕ ПЕРЕКРЫТИЕ</t>
  </si>
  <si>
    <t>ДЕРЕВЯННОЕ</t>
  </si>
  <si>
    <t>МОНОЛИТНОЕ ЖЕЛЕЗОБЕТОННОЕ</t>
  </si>
  <si>
    <t>СБОРНОЕ ЖЕЛЕЗОБЕТОННОЕ</t>
  </si>
  <si>
    <r>
      <t xml:space="preserve">ОБЩАЯ СТОИМОСТЬ:                                </t>
    </r>
    <r>
      <rPr>
        <b/>
        <sz val="13"/>
        <color theme="9" tint="-0.249977111117893"/>
        <rFont val="Calibri"/>
        <family val="2"/>
        <charset val="204"/>
        <scheme val="minor"/>
      </rPr>
      <t>208 511 руб.</t>
    </r>
  </si>
  <si>
    <r>
      <t xml:space="preserve">СТОИМОСТЬ 1 КВ. М.:                                </t>
    </r>
    <r>
      <rPr>
        <b/>
        <sz val="13"/>
        <color theme="9" tint="-0.249977111117893"/>
        <rFont val="Calibri"/>
        <family val="2"/>
        <charset val="204"/>
        <scheme val="minor"/>
      </rPr>
      <t>4 065 руб/м</t>
    </r>
    <r>
      <rPr>
        <b/>
        <vertAlign val="superscript"/>
        <sz val="13"/>
        <color theme="9" tint="-0.249977111117893"/>
        <rFont val="Calibri"/>
        <family val="2"/>
        <charset val="204"/>
        <scheme val="minor"/>
      </rPr>
      <t>2</t>
    </r>
  </si>
  <si>
    <r>
      <t xml:space="preserve">ОБЩАЯ СТОИМОСТЬ:                                </t>
    </r>
    <r>
      <rPr>
        <b/>
        <sz val="13"/>
        <color theme="5" tint="-0.249977111117893"/>
        <rFont val="Calibri"/>
        <family val="2"/>
        <charset val="204"/>
        <scheme val="minor"/>
      </rPr>
      <t>243 135 руб.</t>
    </r>
  </si>
  <si>
    <r>
      <t xml:space="preserve">СТОИМОСТЬ 1 КВ. М.:                                </t>
    </r>
    <r>
      <rPr>
        <b/>
        <sz val="13"/>
        <color theme="5" tint="-0.249977111117893"/>
        <rFont val="Calibri"/>
        <family val="2"/>
        <charset val="204"/>
        <scheme val="minor"/>
      </rPr>
      <t>4 740 руб/м</t>
    </r>
    <r>
      <rPr>
        <b/>
        <vertAlign val="superscript"/>
        <sz val="13"/>
        <color theme="5" tint="-0.249977111117893"/>
        <rFont val="Calibri"/>
        <family val="2"/>
        <charset val="204"/>
        <scheme val="minor"/>
      </rPr>
      <t>2</t>
    </r>
  </si>
  <si>
    <r>
      <t xml:space="preserve">ОБЩАЯ СТОИМОСТЬ:                                </t>
    </r>
    <r>
      <rPr>
        <b/>
        <sz val="13"/>
        <color theme="4" tint="-0.249977111117893"/>
        <rFont val="Calibri"/>
        <family val="2"/>
        <charset val="204"/>
        <scheme val="minor"/>
      </rPr>
      <t>405 482 руб.</t>
    </r>
  </si>
  <si>
    <r>
      <t xml:space="preserve">СТОИМОСТЬ 1 КВ. М.:                                </t>
    </r>
    <r>
      <rPr>
        <b/>
        <sz val="13"/>
        <color theme="4" tint="-0.249977111117893"/>
        <rFont val="Calibri"/>
        <family val="2"/>
        <charset val="204"/>
        <scheme val="minor"/>
      </rPr>
      <t>7 904 руб/м</t>
    </r>
    <r>
      <rPr>
        <b/>
        <vertAlign val="superscript"/>
        <sz val="13"/>
        <color theme="4" tint="-0.249977111117893"/>
        <rFont val="Calibri"/>
        <family val="2"/>
        <charset val="204"/>
        <scheme val="minor"/>
      </rPr>
      <t>2</t>
    </r>
  </si>
  <si>
    <t>ЧЕРДАЧНОЕ ПЕРЕКРЫТИЕ</t>
  </si>
  <si>
    <r>
      <t xml:space="preserve">ОБЩАЯ СТОИМОСТЬ:                                </t>
    </r>
    <r>
      <rPr>
        <b/>
        <sz val="13"/>
        <color theme="9" tint="-0.249977111117893"/>
        <rFont val="Calibri"/>
        <family val="2"/>
        <charset val="204"/>
        <scheme val="minor"/>
      </rPr>
      <t>350 079 руб.</t>
    </r>
  </si>
  <si>
    <r>
      <t xml:space="preserve">СТОИМОСТЬ 1 КВ. М.:                                </t>
    </r>
    <r>
      <rPr>
        <b/>
        <sz val="13"/>
        <color theme="9" tint="-0.249977111117893"/>
        <rFont val="Calibri"/>
        <family val="2"/>
        <charset val="204"/>
        <scheme val="minor"/>
      </rPr>
      <t>6 824 руб/м</t>
    </r>
    <r>
      <rPr>
        <b/>
        <vertAlign val="superscript"/>
        <sz val="13"/>
        <color theme="9" tint="-0.249977111117893"/>
        <rFont val="Calibri"/>
        <family val="2"/>
        <charset val="204"/>
        <scheme val="minor"/>
      </rPr>
      <t>2</t>
    </r>
  </si>
  <si>
    <r>
      <t xml:space="preserve">ОБЩАЯ СТОИМОСТЬ:                                </t>
    </r>
    <r>
      <rPr>
        <b/>
        <sz val="13"/>
        <color theme="5" tint="-0.249977111117893"/>
        <rFont val="Calibri"/>
        <family val="2"/>
        <charset val="204"/>
        <scheme val="minor"/>
      </rPr>
      <t>550 518 руб.</t>
    </r>
  </si>
  <si>
    <r>
      <t xml:space="preserve">СТОИМОСТЬ 1 КВ. М.:                                </t>
    </r>
    <r>
      <rPr>
        <b/>
        <sz val="13"/>
        <color theme="5" tint="-0.249977111117893"/>
        <rFont val="Calibri"/>
        <family val="2"/>
        <charset val="204"/>
        <scheme val="minor"/>
      </rPr>
      <t>10 731 руб/м</t>
    </r>
    <r>
      <rPr>
        <b/>
        <vertAlign val="superscript"/>
        <sz val="13"/>
        <color theme="5" tint="-0.249977111117893"/>
        <rFont val="Calibri"/>
        <family val="2"/>
        <charset val="204"/>
        <scheme val="minor"/>
      </rPr>
      <t>2</t>
    </r>
  </si>
  <si>
    <r>
      <t xml:space="preserve">ОБЩАЯ СТОИМОСТЬ:                                </t>
    </r>
    <r>
      <rPr>
        <b/>
        <sz val="13"/>
        <color theme="4" tint="-0.249977111117893"/>
        <rFont val="Calibri"/>
        <family val="2"/>
        <charset val="204"/>
        <scheme val="minor"/>
      </rPr>
      <t>661 487 руб.</t>
    </r>
  </si>
  <si>
    <r>
      <t xml:space="preserve">СТОИМОСТЬ 1 КВ. М.:                                </t>
    </r>
    <r>
      <rPr>
        <b/>
        <sz val="13"/>
        <color theme="4" tint="-0.249977111117893"/>
        <rFont val="Calibri"/>
        <family val="2"/>
        <charset val="204"/>
        <scheme val="minor"/>
      </rPr>
      <t>12 895 руб/м</t>
    </r>
    <r>
      <rPr>
        <b/>
        <vertAlign val="superscript"/>
        <sz val="13"/>
        <color theme="4" tint="-0.249977111117893"/>
        <rFont val="Calibri"/>
        <family val="2"/>
        <charset val="204"/>
        <scheme val="minor"/>
      </rPr>
      <t>2</t>
    </r>
  </si>
  <si>
    <t>http://svoydomtoday.ru/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</si>
</sst>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\ &quot;₽&quot;"/>
    <numFmt numFmtId="165" formatCode="0.000"/>
    <numFmt numFmtId="166" formatCode="0.0"/>
    <numFmt numFmtId="167" formatCode="#,##0.0"/>
  </numFmts>
  <fonts count="3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CC6B22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theme="9" tint="-0.249977111117893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theme="1" tint="0.14999847407452621"/>
      <name val="Calibri"/>
      <family val="2"/>
      <charset val="204"/>
      <scheme val="minor"/>
    </font>
    <font>
      <sz val="11"/>
      <name val="Symbol"/>
      <family val="1"/>
      <charset val="2"/>
    </font>
    <font>
      <sz val="11"/>
      <name val="Calibri"/>
      <family val="2"/>
      <charset val="204"/>
    </font>
    <font>
      <sz val="11"/>
      <color theme="1"/>
      <name val="Symbol"/>
      <family val="1"/>
      <charset val="2"/>
    </font>
    <font>
      <sz val="11"/>
      <color theme="0" tint="-0.499984740745262"/>
      <name val="Calibri"/>
      <family val="2"/>
      <charset val="204"/>
      <scheme val="minor"/>
    </font>
    <font>
      <b/>
      <u/>
      <sz val="11"/>
      <color theme="1" tint="0.14999847407452621"/>
      <name val="Calibri"/>
      <family val="2"/>
      <charset val="204"/>
      <scheme val="minor"/>
    </font>
    <font>
      <i/>
      <u/>
      <sz val="11"/>
      <color theme="1" tint="0.14999847407452621"/>
      <name val="Calibri"/>
      <family val="2"/>
      <charset val="204"/>
      <scheme val="minor"/>
    </font>
    <font>
      <i/>
      <u/>
      <sz val="11"/>
      <color theme="0" tint="-0.499984740745262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</font>
    <font>
      <b/>
      <sz val="11"/>
      <color theme="1"/>
      <name val="Arial"/>
      <family val="2"/>
      <charset val="204"/>
    </font>
    <font>
      <b/>
      <sz val="13"/>
      <color theme="9" tint="-0.249977111117893"/>
      <name val="Calibri"/>
      <family val="2"/>
      <charset val="204"/>
      <scheme val="minor"/>
    </font>
    <font>
      <b/>
      <vertAlign val="superscript"/>
      <sz val="13"/>
      <color theme="9" tint="-0.249977111117893"/>
      <name val="Calibri"/>
      <family val="2"/>
      <charset val="204"/>
      <scheme val="minor"/>
    </font>
    <font>
      <b/>
      <sz val="13"/>
      <color theme="5" tint="-0.249977111117893"/>
      <name val="Calibri"/>
      <family val="2"/>
      <charset val="204"/>
      <scheme val="minor"/>
    </font>
    <font>
      <b/>
      <vertAlign val="superscript"/>
      <sz val="13"/>
      <color theme="5" tint="-0.249977111117893"/>
      <name val="Calibri"/>
      <family val="2"/>
      <charset val="204"/>
      <scheme val="minor"/>
    </font>
    <font>
      <b/>
      <sz val="13"/>
      <color theme="4" tint="-0.249977111117893"/>
      <name val="Calibri"/>
      <family val="2"/>
      <charset val="204"/>
      <scheme val="minor"/>
    </font>
    <font>
      <b/>
      <vertAlign val="superscript"/>
      <sz val="13"/>
      <color theme="4" tint="-0.249977111117893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0" tint="-0.499984740745262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gradientFill degree="90">
        <stop position="0">
          <color theme="5" tint="0.80001220740379042"/>
        </stop>
        <stop position="1">
          <color theme="5" tint="0.40000610370189521"/>
        </stop>
      </gradientFill>
    </fill>
    <fill>
      <gradientFill type="path">
        <stop position="0">
          <color theme="4" tint="0.59999389629810485"/>
        </stop>
        <stop position="1">
          <color theme="4" tint="0.40000610370189521"/>
        </stop>
      </gradientFill>
    </fill>
    <fill>
      <gradientFill>
        <stop position="0">
          <color theme="0"/>
        </stop>
        <stop position="1">
          <color theme="0" tint="-0.1490218817712943"/>
        </stop>
      </gradient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gradientFill type="path">
        <stop position="0">
          <color theme="3" tint="0.59999389629810485"/>
        </stop>
        <stop position="1">
          <color theme="3" tint="0.40000610370189521"/>
        </stop>
      </gradientFill>
    </fill>
    <fill>
      <gradientFill degree="90">
        <stop position="0">
          <color theme="8" tint="0.80001220740379042"/>
        </stop>
        <stop position="1">
          <color theme="8" tint="0.40000610370189521"/>
        </stop>
      </gradientFill>
    </fill>
    <fill>
      <patternFill patternType="solid">
        <fgColor rgb="FFE58B8B"/>
        <bgColor indexed="64"/>
      </patternFill>
    </fill>
    <fill>
      <patternFill patternType="solid">
        <fgColor theme="9" tint="0.39997558519241921"/>
        <bgColor indexed="64"/>
      </patternFill>
    </fill>
    <fill>
      <gradientFill degree="90">
        <stop position="0">
          <color theme="9" tint="0.80001220740379042"/>
        </stop>
        <stop position="1">
          <color theme="9" tint="0.40000610370189521"/>
        </stop>
      </gradientFill>
    </fill>
    <fill>
      <gradientFill degree="90">
        <stop position="0">
          <color theme="7" tint="0.80001220740379042"/>
        </stop>
        <stop position="1">
          <color theme="7" tint="0.40000610370189521"/>
        </stop>
      </gradientFill>
    </fill>
    <fill>
      <gradientFill degree="90">
        <stop position="0">
          <color theme="4" tint="0.80001220740379042"/>
        </stop>
        <stop position="1">
          <color theme="4" tint="0.40000610370189521"/>
        </stop>
      </gradientFill>
    </fill>
    <fill>
      <gradientFill degree="90">
        <stop position="0">
          <color theme="0" tint="-5.0965910824915313E-2"/>
        </stop>
        <stop position="1">
          <color theme="0" tint="-0.1490218817712943"/>
        </stop>
      </gradient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1" fillId="0" borderId="0" applyNumberFormat="0" applyFill="0" applyBorder="0" applyAlignment="0" applyProtection="0"/>
  </cellStyleXfs>
  <cellXfs count="96">
    <xf numFmtId="0" fontId="0" fillId="0" borderId="0" xfId="0"/>
    <xf numFmtId="0" fontId="0" fillId="0" borderId="1" xfId="0" applyBorder="1"/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wrapText="1"/>
    </xf>
    <xf numFmtId="0" fontId="6" fillId="0" borderId="1" xfId="0" applyFont="1" applyBorder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164" fontId="10" fillId="6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5" fillId="0" borderId="1" xfId="0" applyFont="1" applyBorder="1" applyAlignment="1">
      <alignment wrapText="1"/>
    </xf>
    <xf numFmtId="165" fontId="0" fillId="0" borderId="1" xfId="0" applyNumberForma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164" fontId="18" fillId="0" borderId="1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vertical="center"/>
    </xf>
    <xf numFmtId="164" fontId="14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49" fontId="0" fillId="0" borderId="1" xfId="0" applyNumberFormat="1" applyBorder="1" applyAlignment="1">
      <alignment wrapText="1"/>
    </xf>
    <xf numFmtId="166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/>
    </xf>
    <xf numFmtId="165" fontId="18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49" fontId="18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wrapText="1"/>
    </xf>
    <xf numFmtId="49" fontId="5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2" fontId="18" fillId="0" borderId="1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vertical="center" wrapText="1"/>
    </xf>
    <xf numFmtId="49" fontId="0" fillId="0" borderId="2" xfId="0" applyNumberFormat="1" applyBorder="1" applyAlignment="1">
      <alignment horizontal="center" vertical="center"/>
    </xf>
    <xf numFmtId="167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23" fillId="11" borderId="2" xfId="0" applyFont="1" applyFill="1" applyBorder="1"/>
    <xf numFmtId="0" fontId="23" fillId="11" borderId="4" xfId="0" applyFont="1" applyFill="1" applyBorder="1"/>
    <xf numFmtId="0" fontId="0" fillId="0" borderId="1" xfId="0" applyBorder="1" applyAlignment="1">
      <alignment horizontal="left" vertical="top"/>
    </xf>
    <xf numFmtId="0" fontId="4" fillId="1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center"/>
    </xf>
    <xf numFmtId="0" fontId="1" fillId="15" borderId="1" xfId="0" applyFont="1" applyFill="1" applyBorder="1" applyAlignment="1">
      <alignment horizontal="left" vertical="center"/>
    </xf>
    <xf numFmtId="0" fontId="1" fillId="15" borderId="1" xfId="0" applyFont="1" applyFill="1" applyBorder="1" applyAlignment="1">
      <alignment vertical="center"/>
    </xf>
    <xf numFmtId="0" fontId="22" fillId="9" borderId="5" xfId="0" applyFont="1" applyFill="1" applyBorder="1" applyAlignment="1">
      <alignment horizontal="center" vertical="center"/>
    </xf>
    <xf numFmtId="0" fontId="0" fillId="9" borderId="6" xfId="0" applyFill="1" applyBorder="1"/>
    <xf numFmtId="0" fontId="0" fillId="9" borderId="7" xfId="0" applyFill="1" applyBorder="1"/>
    <xf numFmtId="0" fontId="0" fillId="9" borderId="8" xfId="0" applyFill="1" applyBorder="1"/>
    <xf numFmtId="0" fontId="23" fillId="10" borderId="2" xfId="0" applyFont="1" applyFill="1" applyBorder="1"/>
    <xf numFmtId="0" fontId="23" fillId="10" borderId="4" xfId="0" applyFont="1" applyFill="1" applyBorder="1"/>
    <xf numFmtId="0" fontId="7" fillId="5" borderId="1" xfId="0" applyFont="1" applyFill="1" applyBorder="1" applyAlignment="1">
      <alignment horizontal="left" vertical="center"/>
    </xf>
    <xf numFmtId="0" fontId="10" fillId="5" borderId="1" xfId="0" applyFont="1" applyFill="1" applyBorder="1" applyAlignment="1">
      <alignment horizontal="left" vertical="center"/>
    </xf>
    <xf numFmtId="0" fontId="20" fillId="0" borderId="2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21" fillId="0" borderId="2" xfId="0" applyFont="1" applyBorder="1" applyAlignment="1">
      <alignment vertical="center"/>
    </xf>
    <xf numFmtId="0" fontId="18" fillId="0" borderId="3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0" fillId="7" borderId="2" xfId="0" applyFill="1" applyBorder="1" applyAlignment="1">
      <alignment horizontal="center" vertical="center"/>
    </xf>
    <xf numFmtId="0" fontId="0" fillId="7" borderId="3" xfId="0" applyFill="1" applyBorder="1"/>
    <xf numFmtId="0" fontId="0" fillId="7" borderId="4" xfId="0" applyFill="1" applyBorder="1"/>
    <xf numFmtId="0" fontId="1" fillId="4" borderId="1" xfId="0" applyFont="1" applyFill="1" applyBorder="1" applyAlignment="1" applyProtection="1">
      <alignment horizontal="center" vertical="center"/>
      <protection locked="0"/>
    </xf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0" fontId="6" fillId="0" borderId="2" xfId="0" applyFont="1" applyBorder="1" applyAlignment="1" applyProtection="1">
      <alignment horizontal="left" vertical="center"/>
      <protection locked="0"/>
    </xf>
    <xf numFmtId="0" fontId="6" fillId="0" borderId="3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1" fillId="8" borderId="1" xfId="0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4" borderId="3" xfId="0" applyFont="1" applyFill="1" applyBorder="1" applyAlignment="1" applyProtection="1">
      <alignment horizontal="center" vertical="center"/>
      <protection locked="0"/>
    </xf>
    <xf numFmtId="0" fontId="1" fillId="4" borderId="3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1" xfId="0" applyFont="1" applyFill="1" applyBorder="1" applyAlignment="1" applyProtection="1">
      <alignment horizontal="center"/>
      <protection locked="0"/>
    </xf>
    <xf numFmtId="0" fontId="23" fillId="11" borderId="2" xfId="0" applyFont="1" applyFill="1" applyBorder="1"/>
    <xf numFmtId="0" fontId="23" fillId="11" borderId="4" xfId="0" applyFont="1" applyFill="1" applyBorder="1"/>
    <xf numFmtId="0" fontId="1" fillId="0" borderId="2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2" fillId="0" borderId="2" xfId="1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7" fillId="5" borderId="2" xfId="0" applyFont="1" applyFill="1" applyBorder="1" applyAlignment="1">
      <alignment horizontal="left" vertical="center"/>
    </xf>
    <xf numFmtId="0" fontId="7" fillId="5" borderId="3" xfId="0" applyFont="1" applyFill="1" applyBorder="1" applyAlignment="1">
      <alignment horizontal="left" vertical="center"/>
    </xf>
    <xf numFmtId="0" fontId="7" fillId="5" borderId="4" xfId="0" applyFont="1" applyFill="1" applyBorder="1" applyAlignment="1">
      <alignment horizontal="left" vertical="center"/>
    </xf>
    <xf numFmtId="0" fontId="10" fillId="5" borderId="2" xfId="0" applyFont="1" applyFill="1" applyBorder="1" applyAlignment="1">
      <alignment horizontal="left" vertical="center"/>
    </xf>
    <xf numFmtId="0" fontId="10" fillId="5" borderId="3" xfId="0" applyFont="1" applyFill="1" applyBorder="1" applyAlignment="1">
      <alignment horizontal="left" vertical="center"/>
    </xf>
    <xf numFmtId="0" fontId="10" fillId="5" borderId="4" xfId="0" applyFont="1" applyFill="1" applyBorder="1" applyAlignment="1">
      <alignment horizontal="left" vertical="center"/>
    </xf>
    <xf numFmtId="0" fontId="22" fillId="13" borderId="1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E58B8B"/>
      <color rgb="FFF7DBDB"/>
      <color rgb="FFE44A4A"/>
      <color rgb="FFD6C0C2"/>
      <color rgb="FFCC6B2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228601</xdr:colOff>
      <xdr:row>3</xdr:row>
      <xdr:rowOff>19050</xdr:rowOff>
    </xdr:from>
    <xdr:to>
      <xdr:col>9</xdr:col>
      <xdr:colOff>663555</xdr:colOff>
      <xdr:row>3</xdr:row>
      <xdr:rowOff>3140250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6" y="771525"/>
          <a:ext cx="7473929" cy="31212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32</xdr:row>
      <xdr:rowOff>104775</xdr:rowOff>
    </xdr:from>
    <xdr:to>
      <xdr:col>9</xdr:col>
      <xdr:colOff>586481</xdr:colOff>
      <xdr:row>32</xdr:row>
      <xdr:rowOff>2988375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10429875"/>
          <a:ext cx="7320656" cy="28836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59</xdr:row>
      <xdr:rowOff>66675</xdr:rowOff>
    </xdr:from>
    <xdr:to>
      <xdr:col>9</xdr:col>
      <xdr:colOff>600600</xdr:colOff>
      <xdr:row>59</xdr:row>
      <xdr:rowOff>4119561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9869150"/>
          <a:ext cx="7534800" cy="40528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3</xdr:row>
      <xdr:rowOff>95251</xdr:rowOff>
    </xdr:from>
    <xdr:to>
      <xdr:col>9</xdr:col>
      <xdr:colOff>661350</xdr:colOff>
      <xdr:row>3</xdr:row>
      <xdr:rowOff>3109640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47726"/>
          <a:ext cx="7538400" cy="3014389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38</xdr:row>
      <xdr:rowOff>85725</xdr:rowOff>
    </xdr:from>
    <xdr:to>
      <xdr:col>9</xdr:col>
      <xdr:colOff>670875</xdr:colOff>
      <xdr:row>38</xdr:row>
      <xdr:rowOff>3074055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11363325"/>
          <a:ext cx="7538400" cy="298833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68</xdr:row>
      <xdr:rowOff>28575</xdr:rowOff>
    </xdr:from>
    <xdr:to>
      <xdr:col>9</xdr:col>
      <xdr:colOff>670875</xdr:colOff>
      <xdr:row>68</xdr:row>
      <xdr:rowOff>4039325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21355050"/>
          <a:ext cx="7538400" cy="4010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4</xdr:row>
      <xdr:rowOff>190501</xdr:rowOff>
    </xdr:from>
    <xdr:to>
      <xdr:col>1</xdr:col>
      <xdr:colOff>3285675</xdr:colOff>
      <xdr:row>4</xdr:row>
      <xdr:rowOff>2328799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1266826"/>
          <a:ext cx="3142800" cy="2138298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11</xdr:row>
      <xdr:rowOff>266701</xdr:rowOff>
    </xdr:from>
    <xdr:to>
      <xdr:col>1</xdr:col>
      <xdr:colOff>3306675</xdr:colOff>
      <xdr:row>11</xdr:row>
      <xdr:rowOff>2228954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5581651"/>
          <a:ext cx="3240000" cy="1962253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4</xdr:row>
      <xdr:rowOff>152401</xdr:rowOff>
    </xdr:from>
    <xdr:to>
      <xdr:col>2</xdr:col>
      <xdr:colOff>3307725</xdr:colOff>
      <xdr:row>4</xdr:row>
      <xdr:rowOff>2195852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1228726"/>
          <a:ext cx="3222000" cy="2043451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11</xdr:row>
      <xdr:rowOff>200026</xdr:rowOff>
    </xdr:from>
    <xdr:to>
      <xdr:col>2</xdr:col>
      <xdr:colOff>3325725</xdr:colOff>
      <xdr:row>11</xdr:row>
      <xdr:rowOff>2279429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5514976"/>
          <a:ext cx="3240000" cy="2079403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4</xdr:row>
      <xdr:rowOff>276225</xdr:rowOff>
    </xdr:from>
    <xdr:to>
      <xdr:col>3</xdr:col>
      <xdr:colOff>3235875</xdr:colOff>
      <xdr:row>4</xdr:row>
      <xdr:rowOff>2250691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1352550"/>
          <a:ext cx="3016800" cy="197446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11</xdr:row>
      <xdr:rowOff>276226</xdr:rowOff>
    </xdr:from>
    <xdr:to>
      <xdr:col>3</xdr:col>
      <xdr:colOff>3335250</xdr:colOff>
      <xdr:row>11</xdr:row>
      <xdr:rowOff>2258019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0" y="5591176"/>
          <a:ext cx="3240000" cy="19817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svoydomtoday.ru/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://svoydomtoday.ru/" TargetMode="External"/><Relationship Id="rId1" Type="http://schemas.openxmlformats.org/officeDocument/2006/relationships/hyperlink" Target="http://svoydomtoday.ru/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svoydomtoday.ru/" TargetMode="External"/><Relationship Id="rId7" Type="http://schemas.openxmlformats.org/officeDocument/2006/relationships/comments" Target="../comments2.xml"/><Relationship Id="rId2" Type="http://schemas.openxmlformats.org/officeDocument/2006/relationships/hyperlink" Target="http://svoydomtoday.ru/" TargetMode="External"/><Relationship Id="rId1" Type="http://schemas.openxmlformats.org/officeDocument/2006/relationships/hyperlink" Target="http://svoydomtoday.ru/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N98"/>
  <sheetViews>
    <sheetView tabSelected="1" topLeftCell="B1" workbookViewId="0">
      <selection activeCell="M4" sqref="M4"/>
    </sheetView>
  </sheetViews>
  <sheetFormatPr defaultRowHeight="15" x14ac:dyDescent="0.25"/>
  <cols>
    <col min="1" max="1" width="6.7109375" customWidth="1"/>
    <col min="2" max="2" width="4.85546875" style="3" customWidth="1"/>
    <col min="3" max="3" width="36.5703125" customWidth="1"/>
    <col min="4" max="6" width="11.28515625" style="3" customWidth="1"/>
    <col min="7" max="8" width="9.140625" style="3"/>
    <col min="9" max="9" width="12" style="3" customWidth="1"/>
    <col min="10" max="10" width="12.7109375" style="3" customWidth="1"/>
    <col min="11" max="11" width="10.7109375" customWidth="1"/>
    <col min="13" max="13" width="9.140625" style="3"/>
    <col min="14" max="14" width="86.28515625" customWidth="1"/>
  </cols>
  <sheetData>
    <row r="2" spans="2:14" ht="24.95" customHeight="1" x14ac:dyDescent="0.25">
      <c r="B2" s="71" t="s">
        <v>8</v>
      </c>
      <c r="C2" s="72"/>
      <c r="D2" s="72"/>
      <c r="E2" s="72"/>
      <c r="F2" s="72"/>
      <c r="G2" s="72"/>
      <c r="H2" s="72"/>
      <c r="I2" s="72"/>
      <c r="J2" s="73"/>
    </row>
    <row r="3" spans="2:14" ht="20.100000000000001" customHeight="1" x14ac:dyDescent="0.25">
      <c r="B3" s="74" t="s">
        <v>9</v>
      </c>
      <c r="C3" s="75"/>
      <c r="D3" s="75"/>
      <c r="E3" s="75"/>
      <c r="F3" s="75"/>
      <c r="G3" s="75"/>
      <c r="H3" s="75"/>
      <c r="I3" s="75"/>
      <c r="J3" s="76"/>
    </row>
    <row r="4" spans="2:14" ht="249.95" customHeight="1" x14ac:dyDescent="0.25">
      <c r="B4" s="83"/>
      <c r="C4" s="84"/>
      <c r="D4" s="84"/>
      <c r="E4" s="84"/>
      <c r="F4" s="84"/>
      <c r="G4" s="84"/>
      <c r="H4" s="84"/>
      <c r="I4" s="84"/>
      <c r="J4" s="85"/>
    </row>
    <row r="5" spans="2:14" ht="15" customHeight="1" x14ac:dyDescent="0.25">
      <c r="B5" s="86" t="s">
        <v>177</v>
      </c>
      <c r="C5" s="87"/>
      <c r="D5" s="87"/>
      <c r="E5" s="87"/>
      <c r="F5" s="87"/>
      <c r="G5" s="87"/>
      <c r="H5" s="87"/>
      <c r="I5" s="87"/>
      <c r="J5" s="88"/>
    </row>
    <row r="6" spans="2:14" ht="15" customHeight="1" x14ac:dyDescent="0.25">
      <c r="B6" s="65" t="s">
        <v>0</v>
      </c>
      <c r="C6" s="65" t="s">
        <v>1</v>
      </c>
      <c r="D6" s="77" t="s">
        <v>2</v>
      </c>
      <c r="E6" s="78"/>
      <c r="F6" s="79"/>
      <c r="G6" s="65" t="s">
        <v>4</v>
      </c>
      <c r="H6" s="65" t="s">
        <v>3</v>
      </c>
      <c r="I6" s="66" t="s">
        <v>5</v>
      </c>
      <c r="J6" s="65" t="s">
        <v>6</v>
      </c>
      <c r="K6" s="70" t="s">
        <v>91</v>
      </c>
      <c r="M6" s="48" t="s">
        <v>116</v>
      </c>
      <c r="N6" s="49"/>
    </row>
    <row r="7" spans="2:14" ht="45" x14ac:dyDescent="0.25">
      <c r="B7" s="65"/>
      <c r="C7" s="80"/>
      <c r="D7" s="2" t="s">
        <v>7</v>
      </c>
      <c r="E7" s="2" t="s">
        <v>11</v>
      </c>
      <c r="F7" s="2" t="s">
        <v>12</v>
      </c>
      <c r="G7" s="65"/>
      <c r="H7" s="65"/>
      <c r="I7" s="65"/>
      <c r="J7" s="65"/>
      <c r="K7" s="70"/>
      <c r="M7" s="50"/>
      <c r="N7" s="51"/>
    </row>
    <row r="8" spans="2:14" x14ac:dyDescent="0.25">
      <c r="B8" s="67" t="s">
        <v>13</v>
      </c>
      <c r="C8" s="68"/>
      <c r="D8" s="68"/>
      <c r="E8" s="68"/>
      <c r="F8" s="68"/>
      <c r="G8" s="68"/>
      <c r="H8" s="68"/>
      <c r="I8" s="69"/>
      <c r="J8" s="6">
        <f>ROUNDUP(K8/90,2)</f>
        <v>1.23</v>
      </c>
      <c r="K8" s="6">
        <v>110</v>
      </c>
      <c r="M8" s="52" t="s">
        <v>115</v>
      </c>
      <c r="N8" s="53"/>
    </row>
    <row r="9" spans="2:14" x14ac:dyDescent="0.25">
      <c r="B9" s="4">
        <v>1</v>
      </c>
      <c r="C9" s="1" t="s">
        <v>14</v>
      </c>
      <c r="D9" s="4">
        <v>100</v>
      </c>
      <c r="E9" s="4">
        <v>250</v>
      </c>
      <c r="F9" s="4">
        <v>6000</v>
      </c>
      <c r="G9" s="4">
        <v>16</v>
      </c>
      <c r="H9" s="4" t="s">
        <v>10</v>
      </c>
      <c r="I9" s="4">
        <f>2700*$J$8</f>
        <v>3321</v>
      </c>
      <c r="J9" s="8">
        <f t="shared" ref="J9:J26" si="0">I9*G9</f>
        <v>53136</v>
      </c>
      <c r="M9" s="4">
        <v>1</v>
      </c>
      <c r="N9" s="1" t="s">
        <v>117</v>
      </c>
    </row>
    <row r="10" spans="2:14" x14ac:dyDescent="0.25">
      <c r="B10" s="4">
        <v>2</v>
      </c>
      <c r="C10" s="1" t="s">
        <v>15</v>
      </c>
      <c r="D10" s="4">
        <v>50</v>
      </c>
      <c r="E10" s="4">
        <v>200</v>
      </c>
      <c r="F10" s="4">
        <v>6000</v>
      </c>
      <c r="G10" s="4">
        <v>7</v>
      </c>
      <c r="H10" s="4" t="s">
        <v>10</v>
      </c>
      <c r="I10" s="4">
        <f>850*$J$8</f>
        <v>1045.5</v>
      </c>
      <c r="J10" s="8">
        <f t="shared" si="0"/>
        <v>7318.5</v>
      </c>
      <c r="M10" s="4">
        <v>2</v>
      </c>
      <c r="N10" s="1" t="s">
        <v>121</v>
      </c>
    </row>
    <row r="11" spans="2:14" x14ac:dyDescent="0.25">
      <c r="B11" s="62"/>
      <c r="C11" s="63"/>
      <c r="D11" s="63"/>
      <c r="E11" s="63"/>
      <c r="F11" s="63"/>
      <c r="G11" s="63"/>
      <c r="H11" s="63"/>
      <c r="I11" s="63"/>
      <c r="J11" s="64"/>
      <c r="M11" s="4">
        <v>3</v>
      </c>
      <c r="N11" s="1" t="s">
        <v>129</v>
      </c>
    </row>
    <row r="12" spans="2:14" x14ac:dyDescent="0.25">
      <c r="B12" s="4">
        <v>3</v>
      </c>
      <c r="C12" s="22" t="s">
        <v>62</v>
      </c>
      <c r="D12" s="28"/>
      <c r="E12" s="28"/>
      <c r="F12" s="28"/>
      <c r="G12" s="28"/>
      <c r="H12" s="28"/>
      <c r="I12" s="28"/>
      <c r="J12" s="28"/>
      <c r="M12" s="4">
        <v>4</v>
      </c>
      <c r="N12" s="1" t="s">
        <v>130</v>
      </c>
    </row>
    <row r="13" spans="2:14" x14ac:dyDescent="0.25">
      <c r="B13" s="4"/>
      <c r="C13" s="56" t="s">
        <v>46</v>
      </c>
      <c r="D13" s="57"/>
      <c r="E13" s="57"/>
      <c r="F13" s="57"/>
      <c r="G13" s="57"/>
      <c r="H13" s="57"/>
      <c r="I13" s="57"/>
      <c r="J13" s="58"/>
      <c r="M13" s="4">
        <v>5</v>
      </c>
      <c r="N13" s="1" t="s">
        <v>128</v>
      </c>
    </row>
    <row r="14" spans="2:14" ht="30" x14ac:dyDescent="0.25">
      <c r="B14" s="27" t="s">
        <v>67</v>
      </c>
      <c r="C14" s="5" t="s">
        <v>16</v>
      </c>
      <c r="D14" s="4">
        <v>36</v>
      </c>
      <c r="E14" s="4">
        <v>140</v>
      </c>
      <c r="F14" s="4">
        <v>3000</v>
      </c>
      <c r="G14" s="4">
        <v>123</v>
      </c>
      <c r="H14" s="4" t="s">
        <v>10</v>
      </c>
      <c r="I14" s="4">
        <f>850*$J$8</f>
        <v>1045.5</v>
      </c>
      <c r="J14" s="8">
        <f t="shared" si="0"/>
        <v>128596.5</v>
      </c>
      <c r="M14" s="4">
        <v>6</v>
      </c>
      <c r="N14" s="39" t="s">
        <v>120</v>
      </c>
    </row>
    <row r="15" spans="2:14" x14ac:dyDescent="0.25">
      <c r="B15" s="30"/>
      <c r="C15" s="59" t="s">
        <v>48</v>
      </c>
      <c r="D15" s="60"/>
      <c r="E15" s="60"/>
      <c r="F15" s="60"/>
      <c r="G15" s="60"/>
      <c r="H15" s="60"/>
      <c r="I15" s="60"/>
      <c r="J15" s="61"/>
      <c r="M15" s="4">
        <v>7</v>
      </c>
      <c r="N15" s="39" t="s">
        <v>140</v>
      </c>
    </row>
    <row r="16" spans="2:14" x14ac:dyDescent="0.25">
      <c r="B16" s="31" t="s">
        <v>68</v>
      </c>
      <c r="C16" s="32" t="s">
        <v>65</v>
      </c>
      <c r="D16" s="30">
        <v>36</v>
      </c>
      <c r="E16" s="30">
        <v>140</v>
      </c>
      <c r="F16" s="30">
        <v>3000</v>
      </c>
      <c r="G16" s="30">
        <v>123</v>
      </c>
      <c r="H16" s="30" t="s">
        <v>10</v>
      </c>
      <c r="I16" s="30">
        <f>550*$J$8</f>
        <v>676.5</v>
      </c>
      <c r="J16" s="21">
        <f t="shared" ref="J16" si="1">I16*G16</f>
        <v>83209.5</v>
      </c>
      <c r="M16" s="81" t="s">
        <v>131</v>
      </c>
      <c r="N16" s="82"/>
    </row>
    <row r="17" spans="2:14" x14ac:dyDescent="0.25">
      <c r="B17" s="30"/>
      <c r="C17" s="59" t="s">
        <v>66</v>
      </c>
      <c r="D17" s="60"/>
      <c r="E17" s="60"/>
      <c r="F17" s="60"/>
      <c r="G17" s="60"/>
      <c r="H17" s="60"/>
      <c r="I17" s="60"/>
      <c r="J17" s="61"/>
      <c r="M17" s="4">
        <v>1</v>
      </c>
      <c r="N17" s="1" t="s">
        <v>132</v>
      </c>
    </row>
    <row r="18" spans="2:14" x14ac:dyDescent="0.25">
      <c r="B18" s="31" t="s">
        <v>69</v>
      </c>
      <c r="C18" s="32" t="s">
        <v>15</v>
      </c>
      <c r="D18" s="30">
        <v>50</v>
      </c>
      <c r="E18" s="30">
        <v>150</v>
      </c>
      <c r="F18" s="30">
        <v>6000</v>
      </c>
      <c r="G18" s="30">
        <v>57</v>
      </c>
      <c r="H18" s="30" t="s">
        <v>10</v>
      </c>
      <c r="I18" s="30">
        <f>750*$J$8</f>
        <v>922.5</v>
      </c>
      <c r="J18" s="21">
        <f t="shared" ref="J18" si="2">I18*G18</f>
        <v>52582.5</v>
      </c>
      <c r="M18" s="4">
        <v>2</v>
      </c>
      <c r="N18" s="1" t="s">
        <v>133</v>
      </c>
    </row>
    <row r="19" spans="2:14" x14ac:dyDescent="0.25">
      <c r="B19" s="62"/>
      <c r="C19" s="63"/>
      <c r="D19" s="63"/>
      <c r="E19" s="63"/>
      <c r="F19" s="63"/>
      <c r="G19" s="63"/>
      <c r="H19" s="63"/>
      <c r="I19" s="63"/>
      <c r="J19" s="64"/>
      <c r="M19" s="4">
        <v>3</v>
      </c>
      <c r="N19" s="1" t="s">
        <v>134</v>
      </c>
    </row>
    <row r="20" spans="2:14" x14ac:dyDescent="0.25">
      <c r="B20" s="4">
        <v>4</v>
      </c>
      <c r="C20" s="5" t="s">
        <v>17</v>
      </c>
      <c r="D20" s="4">
        <v>20</v>
      </c>
      <c r="E20" s="4">
        <v>96</v>
      </c>
      <c r="F20" s="4">
        <v>3000</v>
      </c>
      <c r="G20" s="4">
        <v>180</v>
      </c>
      <c r="H20" s="4" t="s">
        <v>10</v>
      </c>
      <c r="I20" s="4">
        <f>150*$J$8</f>
        <v>184.5</v>
      </c>
      <c r="J20" s="8">
        <f t="shared" si="0"/>
        <v>33210</v>
      </c>
      <c r="M20" s="4">
        <v>4</v>
      </c>
      <c r="N20" s="1" t="s">
        <v>135</v>
      </c>
    </row>
    <row r="21" spans="2:14" x14ac:dyDescent="0.25">
      <c r="B21" s="4">
        <v>5</v>
      </c>
      <c r="C21" s="5" t="s">
        <v>18</v>
      </c>
      <c r="D21" s="4"/>
      <c r="E21" s="4"/>
      <c r="F21" s="4"/>
      <c r="G21" s="4">
        <f>(D9*0.001*2+E9*0.001*2)*G9*2</f>
        <v>22.4</v>
      </c>
      <c r="H21" s="4" t="s">
        <v>19</v>
      </c>
      <c r="I21" s="4">
        <f>160*$J$8</f>
        <v>196.8</v>
      </c>
      <c r="J21" s="8">
        <f t="shared" si="0"/>
        <v>4408.32</v>
      </c>
      <c r="M21" s="4">
        <v>5</v>
      </c>
      <c r="N21" s="1" t="s">
        <v>138</v>
      </c>
    </row>
    <row r="22" spans="2:14" x14ac:dyDescent="0.25">
      <c r="B22" s="4">
        <v>6</v>
      </c>
      <c r="C22" s="5" t="s">
        <v>20</v>
      </c>
      <c r="D22" s="4"/>
      <c r="E22" s="4"/>
      <c r="F22" s="4"/>
      <c r="G22" s="7">
        <f>((2*D9*0.001+2*E9*0.001)*F9*0.001+D9*0.001*E9*0.001*2)*G9+((2*D10*0.001+2*E10*0.001)*F10*0.001+D10*0.001*E10*0.001*2)*G10+((2*D14*0.001+2*E14*0.001)*F14*0.001+D14*0.001*E14*0.001*2)*G14+((2*D20*0.001+2*E20*0.001)*F20*0.001+D20*0.001*E20*0.001*2)*G20</f>
        <v>346.23904000000005</v>
      </c>
      <c r="H22" s="4" t="s">
        <v>19</v>
      </c>
      <c r="I22" s="4">
        <f>45*$J$8</f>
        <v>55.35</v>
      </c>
      <c r="J22" s="8">
        <f t="shared" si="0"/>
        <v>19164.330864000003</v>
      </c>
      <c r="M22" s="4">
        <v>6</v>
      </c>
      <c r="N22" s="1" t="s">
        <v>157</v>
      </c>
    </row>
    <row r="23" spans="2:14" ht="30" x14ac:dyDescent="0.25">
      <c r="B23" s="4">
        <v>7</v>
      </c>
      <c r="C23" s="5" t="s">
        <v>22</v>
      </c>
      <c r="D23" s="4"/>
      <c r="E23" s="4"/>
      <c r="F23" s="4"/>
      <c r="G23" s="4">
        <v>656</v>
      </c>
      <c r="H23" s="4" t="s">
        <v>10</v>
      </c>
      <c r="I23" s="4">
        <f>2.75*$J$8</f>
        <v>3.3824999999999998</v>
      </c>
      <c r="J23" s="8">
        <f t="shared" si="0"/>
        <v>2218.92</v>
      </c>
      <c r="M23" s="4">
        <v>7</v>
      </c>
      <c r="N23" s="42" t="s">
        <v>151</v>
      </c>
    </row>
    <row r="24" spans="2:14" x14ac:dyDescent="0.25">
      <c r="B24" s="4">
        <v>8</v>
      </c>
      <c r="C24" s="5" t="s">
        <v>21</v>
      </c>
      <c r="D24" s="4"/>
      <c r="E24" s="4"/>
      <c r="F24" s="4"/>
      <c r="G24" s="10">
        <f>16*41+41</f>
        <v>697</v>
      </c>
      <c r="H24" s="4" t="s">
        <v>10</v>
      </c>
      <c r="I24" s="9">
        <f>1.1*$J$8</f>
        <v>1.353</v>
      </c>
      <c r="J24" s="8">
        <f t="shared" si="0"/>
        <v>943.04099999999994</v>
      </c>
      <c r="M24" s="4">
        <v>8</v>
      </c>
      <c r="N24" s="1" t="s">
        <v>153</v>
      </c>
    </row>
    <row r="25" spans="2:14" x14ac:dyDescent="0.25">
      <c r="B25" s="4">
        <v>9</v>
      </c>
      <c r="C25" s="5" t="s">
        <v>23</v>
      </c>
      <c r="D25" s="4"/>
      <c r="E25" s="4"/>
      <c r="F25" s="4"/>
      <c r="G25" s="10">
        <f>60*16*2</f>
        <v>1920</v>
      </c>
      <c r="H25" s="4" t="s">
        <v>10</v>
      </c>
      <c r="I25" s="9">
        <f>0.56*$J$8</f>
        <v>0.68880000000000008</v>
      </c>
      <c r="J25" s="8">
        <f t="shared" si="0"/>
        <v>1322.4960000000001</v>
      </c>
    </row>
    <row r="26" spans="2:14" x14ac:dyDescent="0.25">
      <c r="B26" s="4">
        <v>10</v>
      </c>
      <c r="C26" s="5" t="s">
        <v>71</v>
      </c>
      <c r="D26" s="4"/>
      <c r="E26" s="4"/>
      <c r="F26" s="4"/>
      <c r="G26" s="10">
        <v>1</v>
      </c>
      <c r="H26" s="4" t="s">
        <v>10</v>
      </c>
      <c r="I26" s="9">
        <f>5000*$J$8</f>
        <v>6150</v>
      </c>
      <c r="J26" s="8">
        <f t="shared" si="0"/>
        <v>6150</v>
      </c>
    </row>
    <row r="27" spans="2:14" ht="20.100000000000001" customHeight="1" x14ac:dyDescent="0.25">
      <c r="B27" s="54" t="s">
        <v>25</v>
      </c>
      <c r="C27" s="54"/>
      <c r="D27" s="54"/>
      <c r="E27" s="54"/>
      <c r="F27" s="54"/>
      <c r="G27" s="54"/>
      <c r="H27" s="54"/>
      <c r="I27" s="54"/>
      <c r="J27" s="11">
        <f>J9+J10+J14+J20+J21+J22+J23+J24+J25+J26</f>
        <v>256468.10786400005</v>
      </c>
    </row>
    <row r="28" spans="2:14" ht="15.75" x14ac:dyDescent="0.25">
      <c r="B28" s="13" t="s">
        <v>26</v>
      </c>
      <c r="C28" s="14"/>
      <c r="D28" s="14"/>
      <c r="E28" s="15">
        <v>5.7</v>
      </c>
      <c r="F28" s="15">
        <v>9</v>
      </c>
      <c r="G28" s="15">
        <f>E28*F28</f>
        <v>51.300000000000004</v>
      </c>
      <c r="H28" s="15" t="s">
        <v>19</v>
      </c>
      <c r="I28" s="13"/>
      <c r="J28" s="12"/>
    </row>
    <row r="29" spans="2:14" ht="20.100000000000001" customHeight="1" x14ac:dyDescent="0.25">
      <c r="B29" s="55" t="s">
        <v>27</v>
      </c>
      <c r="C29" s="55"/>
      <c r="D29" s="55"/>
      <c r="E29" s="55"/>
      <c r="F29" s="55"/>
      <c r="G29" s="55"/>
      <c r="H29" s="55"/>
      <c r="I29" s="55"/>
      <c r="J29" s="16">
        <f>J27/G28</f>
        <v>4999.3783209356734</v>
      </c>
    </row>
    <row r="31" spans="2:14" ht="24.95" customHeight="1" x14ac:dyDescent="0.25">
      <c r="B31" s="71" t="s">
        <v>28</v>
      </c>
      <c r="C31" s="72"/>
      <c r="D31" s="72"/>
      <c r="E31" s="72"/>
      <c r="F31" s="72"/>
      <c r="G31" s="72"/>
      <c r="H31" s="72"/>
      <c r="I31" s="72"/>
      <c r="J31" s="73"/>
    </row>
    <row r="32" spans="2:14" ht="20.100000000000001" customHeight="1" x14ac:dyDescent="0.25">
      <c r="B32" s="74" t="s">
        <v>9</v>
      </c>
      <c r="C32" s="75"/>
      <c r="D32" s="75"/>
      <c r="E32" s="75"/>
      <c r="F32" s="75"/>
      <c r="G32" s="75"/>
      <c r="H32" s="75"/>
      <c r="I32" s="75"/>
      <c r="J32" s="76"/>
    </row>
    <row r="33" spans="2:14" ht="249.95" customHeight="1" x14ac:dyDescent="0.25">
      <c r="B33" s="83"/>
      <c r="C33" s="84"/>
      <c r="D33" s="84"/>
      <c r="E33" s="84"/>
      <c r="F33" s="84"/>
      <c r="G33" s="84"/>
      <c r="H33" s="84"/>
      <c r="I33" s="84"/>
      <c r="J33" s="85"/>
    </row>
    <row r="34" spans="2:14" ht="15" customHeight="1" x14ac:dyDescent="0.25">
      <c r="B34" s="86" t="s">
        <v>177</v>
      </c>
      <c r="C34" s="87"/>
      <c r="D34" s="87"/>
      <c r="E34" s="87"/>
      <c r="F34" s="87"/>
      <c r="G34" s="87"/>
      <c r="H34" s="87"/>
      <c r="I34" s="87"/>
      <c r="J34" s="88"/>
    </row>
    <row r="35" spans="2:14" x14ac:dyDescent="0.25">
      <c r="B35" s="65" t="s">
        <v>0</v>
      </c>
      <c r="C35" s="65" t="s">
        <v>1</v>
      </c>
      <c r="D35" s="77" t="s">
        <v>2</v>
      </c>
      <c r="E35" s="78"/>
      <c r="F35" s="79"/>
      <c r="G35" s="65" t="s">
        <v>4</v>
      </c>
      <c r="H35" s="65" t="s">
        <v>3</v>
      </c>
      <c r="I35" s="66" t="s">
        <v>5</v>
      </c>
      <c r="J35" s="65" t="s">
        <v>6</v>
      </c>
      <c r="K35" s="70" t="s">
        <v>91</v>
      </c>
      <c r="M35" s="48" t="s">
        <v>116</v>
      </c>
      <c r="N35" s="49"/>
    </row>
    <row r="36" spans="2:14" ht="45" x14ac:dyDescent="0.25">
      <c r="B36" s="65"/>
      <c r="C36" s="80"/>
      <c r="D36" s="2" t="s">
        <v>7</v>
      </c>
      <c r="E36" s="2" t="s">
        <v>11</v>
      </c>
      <c r="F36" s="2" t="s">
        <v>12</v>
      </c>
      <c r="G36" s="65"/>
      <c r="H36" s="65"/>
      <c r="I36" s="65"/>
      <c r="J36" s="65"/>
      <c r="K36" s="70"/>
      <c r="M36" s="50"/>
      <c r="N36" s="51"/>
    </row>
    <row r="37" spans="2:14" x14ac:dyDescent="0.25">
      <c r="B37" s="67" t="s">
        <v>13</v>
      </c>
      <c r="C37" s="68"/>
      <c r="D37" s="68"/>
      <c r="E37" s="68"/>
      <c r="F37" s="68"/>
      <c r="G37" s="68"/>
      <c r="H37" s="68"/>
      <c r="I37" s="69"/>
      <c r="J37" s="6">
        <f>ROUNDUP(K37/90,2)</f>
        <v>1</v>
      </c>
      <c r="K37" s="6">
        <v>90</v>
      </c>
      <c r="M37" s="52" t="s">
        <v>115</v>
      </c>
      <c r="N37" s="53"/>
    </row>
    <row r="38" spans="2:14" x14ac:dyDescent="0.25">
      <c r="B38" s="4">
        <v>1</v>
      </c>
      <c r="C38" s="22" t="s">
        <v>101</v>
      </c>
      <c r="D38" s="30"/>
      <c r="E38" s="4"/>
      <c r="F38" s="4"/>
      <c r="G38" s="30"/>
      <c r="H38" s="30"/>
      <c r="I38" s="4"/>
      <c r="J38" s="21">
        <f>J40+J44+J45+J46+J47</f>
        <v>141493.20000000001</v>
      </c>
      <c r="K38" s="34"/>
      <c r="M38" s="4">
        <v>1</v>
      </c>
      <c r="N38" s="1" t="s">
        <v>118</v>
      </c>
    </row>
    <row r="39" spans="2:14" x14ac:dyDescent="0.25">
      <c r="B39" s="4"/>
      <c r="C39" s="56" t="s">
        <v>46</v>
      </c>
      <c r="D39" s="57"/>
      <c r="E39" s="57"/>
      <c r="F39" s="57"/>
      <c r="G39" s="57"/>
      <c r="H39" s="57"/>
      <c r="I39" s="57"/>
      <c r="J39" s="58"/>
      <c r="M39" s="4">
        <v>2</v>
      </c>
      <c r="N39" s="1" t="s">
        <v>119</v>
      </c>
    </row>
    <row r="40" spans="2:14" ht="30" x14ac:dyDescent="0.25">
      <c r="B40" s="27" t="s">
        <v>73</v>
      </c>
      <c r="C40" s="5" t="s">
        <v>34</v>
      </c>
      <c r="D40" s="4">
        <v>220</v>
      </c>
      <c r="E40" s="4">
        <v>1500</v>
      </c>
      <c r="F40" s="4">
        <v>6000</v>
      </c>
      <c r="G40" s="4">
        <v>6</v>
      </c>
      <c r="H40" s="4" t="s">
        <v>10</v>
      </c>
      <c r="I40" s="4">
        <f>17400*$J$37</f>
        <v>17400</v>
      </c>
      <c r="J40" s="8">
        <f>I40*G40</f>
        <v>104400</v>
      </c>
      <c r="M40" s="4">
        <v>3</v>
      </c>
      <c r="N40" s="39" t="s">
        <v>120</v>
      </c>
    </row>
    <row r="41" spans="2:14" x14ac:dyDescent="0.25">
      <c r="B41" s="30"/>
      <c r="C41" s="59" t="s">
        <v>48</v>
      </c>
      <c r="D41" s="60"/>
      <c r="E41" s="60"/>
      <c r="F41" s="60"/>
      <c r="G41" s="60"/>
      <c r="H41" s="60"/>
      <c r="I41" s="60"/>
      <c r="J41" s="61"/>
      <c r="M41" s="4">
        <v>4</v>
      </c>
      <c r="N41" s="1" t="s">
        <v>128</v>
      </c>
    </row>
    <row r="42" spans="2:14" ht="30" x14ac:dyDescent="0.25">
      <c r="B42" s="31" t="s">
        <v>74</v>
      </c>
      <c r="C42" s="32" t="s">
        <v>90</v>
      </c>
      <c r="D42" s="30">
        <v>220</v>
      </c>
      <c r="E42" s="30">
        <v>1500</v>
      </c>
      <c r="F42" s="30">
        <v>6000</v>
      </c>
      <c r="G42" s="30">
        <v>6</v>
      </c>
      <c r="H42" s="30" t="s">
        <v>10</v>
      </c>
      <c r="I42" s="30">
        <f>21500*$J$37</f>
        <v>21500</v>
      </c>
      <c r="J42" s="21">
        <f>I42*G42</f>
        <v>129000</v>
      </c>
      <c r="M42" s="4">
        <v>5</v>
      </c>
      <c r="N42" s="39" t="s">
        <v>155</v>
      </c>
    </row>
    <row r="43" spans="2:14" x14ac:dyDescent="0.25">
      <c r="B43" s="62"/>
      <c r="C43" s="63"/>
      <c r="D43" s="63"/>
      <c r="E43" s="63"/>
      <c r="F43" s="63"/>
      <c r="G43" s="63"/>
      <c r="H43" s="63"/>
      <c r="I43" s="63"/>
      <c r="J43" s="64"/>
      <c r="M43" s="4">
        <v>6</v>
      </c>
      <c r="N43" s="39" t="s">
        <v>154</v>
      </c>
    </row>
    <row r="44" spans="2:14" ht="15" customHeight="1" x14ac:dyDescent="0.25">
      <c r="B44" s="27" t="s">
        <v>75</v>
      </c>
      <c r="C44" s="5" t="s">
        <v>24</v>
      </c>
      <c r="D44" s="4"/>
      <c r="E44" s="4"/>
      <c r="F44" s="4"/>
      <c r="G44" s="10">
        <v>1</v>
      </c>
      <c r="H44" s="4" t="s">
        <v>10</v>
      </c>
      <c r="I44" s="9">
        <f>20000*$J$37</f>
        <v>20000</v>
      </c>
      <c r="J44" s="8">
        <f>I44*G44</f>
        <v>20000</v>
      </c>
      <c r="M44" s="81" t="s">
        <v>131</v>
      </c>
      <c r="N44" s="82"/>
    </row>
    <row r="45" spans="2:14" ht="15" customHeight="1" x14ac:dyDescent="0.25">
      <c r="B45" s="27" t="s">
        <v>76</v>
      </c>
      <c r="C45" s="5" t="s">
        <v>32</v>
      </c>
      <c r="D45" s="4"/>
      <c r="E45" s="4"/>
      <c r="F45" s="4"/>
      <c r="G45" s="4">
        <v>4</v>
      </c>
      <c r="H45" s="4" t="s">
        <v>33</v>
      </c>
      <c r="I45" s="4">
        <f>4000*$J$37</f>
        <v>4000</v>
      </c>
      <c r="J45" s="8">
        <f>I45*G45</f>
        <v>16000</v>
      </c>
      <c r="M45" s="4">
        <v>1</v>
      </c>
      <c r="N45" s="1" t="s">
        <v>136</v>
      </c>
    </row>
    <row r="46" spans="2:14" ht="15" customHeight="1" x14ac:dyDescent="0.25">
      <c r="B46" s="27" t="s">
        <v>77</v>
      </c>
      <c r="C46" s="18" t="s">
        <v>36</v>
      </c>
      <c r="D46" s="4"/>
      <c r="E46" s="4"/>
      <c r="F46" s="4"/>
      <c r="G46" s="4">
        <f>14*0.65</f>
        <v>9.1</v>
      </c>
      <c r="H46" s="4" t="s">
        <v>37</v>
      </c>
      <c r="I46" s="4">
        <f>52*$J$37</f>
        <v>52</v>
      </c>
      <c r="J46" s="8">
        <f>I46*G46</f>
        <v>473.2</v>
      </c>
      <c r="M46" s="4">
        <v>2</v>
      </c>
      <c r="N46" s="1" t="s">
        <v>137</v>
      </c>
    </row>
    <row r="47" spans="2:14" ht="15" customHeight="1" x14ac:dyDescent="0.25">
      <c r="B47" s="37" t="s">
        <v>102</v>
      </c>
      <c r="C47" s="17" t="s">
        <v>31</v>
      </c>
      <c r="D47" s="4"/>
      <c r="E47" s="4"/>
      <c r="F47" s="4"/>
      <c r="G47" s="4">
        <v>2</v>
      </c>
      <c r="H47" s="4" t="s">
        <v>10</v>
      </c>
      <c r="I47" s="4">
        <f>310*$J$37</f>
        <v>310</v>
      </c>
      <c r="J47" s="8">
        <f>I47*G47</f>
        <v>620</v>
      </c>
      <c r="M47" s="4">
        <v>3</v>
      </c>
      <c r="N47" s="1" t="s">
        <v>144</v>
      </c>
    </row>
    <row r="48" spans="2:14" ht="15" customHeight="1" x14ac:dyDescent="0.25">
      <c r="B48" s="62"/>
      <c r="C48" s="63"/>
      <c r="D48" s="63"/>
      <c r="E48" s="63"/>
      <c r="F48" s="63"/>
      <c r="G48" s="63"/>
      <c r="H48" s="63"/>
      <c r="I48" s="63"/>
      <c r="J48" s="64"/>
      <c r="M48" s="4">
        <v>4</v>
      </c>
      <c r="N48" s="42" t="s">
        <v>151</v>
      </c>
    </row>
    <row r="49" spans="2:14" x14ac:dyDescent="0.25">
      <c r="B49" s="4">
        <v>2</v>
      </c>
      <c r="C49" s="22" t="s">
        <v>29</v>
      </c>
      <c r="D49" s="30">
        <v>50</v>
      </c>
      <c r="E49" s="4"/>
      <c r="F49" s="4"/>
      <c r="G49" s="30">
        <f>ROUNDUP(G55*D49*0.001,2)</f>
        <v>2.57</v>
      </c>
      <c r="H49" s="30" t="s">
        <v>30</v>
      </c>
      <c r="I49" s="4"/>
      <c r="J49" s="21">
        <f>J50+J51+J52+J53</f>
        <v>50923.8</v>
      </c>
    </row>
    <row r="50" spans="2:14" ht="30" x14ac:dyDescent="0.25">
      <c r="B50" s="27" t="s">
        <v>78</v>
      </c>
      <c r="C50" s="17" t="s">
        <v>31</v>
      </c>
      <c r="D50" s="4"/>
      <c r="E50" s="4"/>
      <c r="F50" s="4"/>
      <c r="G50" s="4">
        <v>129</v>
      </c>
      <c r="H50" s="4" t="s">
        <v>10</v>
      </c>
      <c r="I50" s="4">
        <f>310*$J$37</f>
        <v>310</v>
      </c>
      <c r="J50" s="8">
        <f>I50*G50</f>
        <v>39990</v>
      </c>
    </row>
    <row r="51" spans="2:14" x14ac:dyDescent="0.25">
      <c r="B51" s="27" t="s">
        <v>79</v>
      </c>
      <c r="C51" s="5" t="s">
        <v>35</v>
      </c>
      <c r="D51" s="4">
        <v>10</v>
      </c>
      <c r="E51" s="4"/>
      <c r="F51" s="4">
        <v>3000</v>
      </c>
      <c r="G51" s="4">
        <v>14</v>
      </c>
      <c r="H51" s="4" t="s">
        <v>10</v>
      </c>
      <c r="I51" s="4">
        <f>52*$J$37</f>
        <v>52</v>
      </c>
      <c r="J51" s="8">
        <f>I51*G51</f>
        <v>728</v>
      </c>
    </row>
    <row r="52" spans="2:14" ht="30" x14ac:dyDescent="0.25">
      <c r="B52" s="27" t="s">
        <v>80</v>
      </c>
      <c r="C52" s="5" t="s">
        <v>126</v>
      </c>
      <c r="D52" s="4">
        <v>50</v>
      </c>
      <c r="E52" s="4"/>
      <c r="F52" s="4"/>
      <c r="G52" s="4">
        <v>29.4</v>
      </c>
      <c r="H52" s="4" t="s">
        <v>125</v>
      </c>
      <c r="I52" s="4">
        <v>7</v>
      </c>
      <c r="J52" s="8">
        <f>I52*G52</f>
        <v>205.79999999999998</v>
      </c>
    </row>
    <row r="53" spans="2:14" x14ac:dyDescent="0.25">
      <c r="B53" s="27" t="s">
        <v>81</v>
      </c>
      <c r="C53" s="5" t="s">
        <v>72</v>
      </c>
      <c r="D53" s="4"/>
      <c r="E53" s="4"/>
      <c r="F53" s="4"/>
      <c r="G53" s="10">
        <v>1</v>
      </c>
      <c r="H53" s="4" t="s">
        <v>10</v>
      </c>
      <c r="I53" s="9">
        <f>10000*$J$37</f>
        <v>10000</v>
      </c>
      <c r="J53" s="8">
        <f t="shared" ref="J53" si="3">I53*G53</f>
        <v>10000</v>
      </c>
    </row>
    <row r="54" spans="2:14" ht="15.75" x14ac:dyDescent="0.25">
      <c r="B54" s="54" t="s">
        <v>25</v>
      </c>
      <c r="C54" s="54"/>
      <c r="D54" s="54"/>
      <c r="E54" s="54"/>
      <c r="F54" s="54"/>
      <c r="G54" s="54"/>
      <c r="H54" s="54"/>
      <c r="I54" s="54"/>
      <c r="J54" s="11">
        <f>J40+J44+J45+J46+J47+J49+J50+J51+J52+J53</f>
        <v>243340.79999999999</v>
      </c>
    </row>
    <row r="55" spans="2:14" ht="15.75" x14ac:dyDescent="0.25">
      <c r="B55" s="13" t="s">
        <v>26</v>
      </c>
      <c r="C55" s="14"/>
      <c r="D55" s="14"/>
      <c r="E55" s="15">
        <v>5.7</v>
      </c>
      <c r="F55" s="15">
        <v>9</v>
      </c>
      <c r="G55" s="15">
        <f>E55*F55</f>
        <v>51.300000000000004</v>
      </c>
      <c r="H55" s="15" t="s">
        <v>19</v>
      </c>
      <c r="I55" s="13"/>
      <c r="J55" s="12"/>
    </row>
    <row r="56" spans="2:14" ht="15.75" x14ac:dyDescent="0.25">
      <c r="B56" s="55" t="s">
        <v>27</v>
      </c>
      <c r="C56" s="55"/>
      <c r="D56" s="55"/>
      <c r="E56" s="55"/>
      <c r="F56" s="55"/>
      <c r="G56" s="55"/>
      <c r="H56" s="55"/>
      <c r="I56" s="55"/>
      <c r="J56" s="16">
        <f>J54/G55</f>
        <v>4743.4853801169584</v>
      </c>
    </row>
    <row r="58" spans="2:14" ht="24.95" customHeight="1" x14ac:dyDescent="0.25">
      <c r="B58" s="71" t="s">
        <v>38</v>
      </c>
      <c r="C58" s="72"/>
      <c r="D58" s="72"/>
      <c r="E58" s="72"/>
      <c r="F58" s="72"/>
      <c r="G58" s="72"/>
      <c r="H58" s="72"/>
      <c r="I58" s="72"/>
      <c r="J58" s="73"/>
    </row>
    <row r="59" spans="2:14" ht="20.100000000000001" customHeight="1" x14ac:dyDescent="0.25">
      <c r="B59" s="74" t="s">
        <v>9</v>
      </c>
      <c r="C59" s="75"/>
      <c r="D59" s="75"/>
      <c r="E59" s="75"/>
      <c r="F59" s="75"/>
      <c r="G59" s="75"/>
      <c r="H59" s="75"/>
      <c r="I59" s="75"/>
      <c r="J59" s="76"/>
    </row>
    <row r="60" spans="2:14" ht="330" customHeight="1" x14ac:dyDescent="0.25">
      <c r="B60" s="83"/>
      <c r="C60" s="84"/>
      <c r="D60" s="84"/>
      <c r="E60" s="84"/>
      <c r="F60" s="84"/>
      <c r="G60" s="84"/>
      <c r="H60" s="84"/>
      <c r="I60" s="84"/>
      <c r="J60" s="85"/>
    </row>
    <row r="61" spans="2:14" ht="15" customHeight="1" x14ac:dyDescent="0.25">
      <c r="B61" s="86" t="s">
        <v>177</v>
      </c>
      <c r="C61" s="87"/>
      <c r="D61" s="87"/>
      <c r="E61" s="87"/>
      <c r="F61" s="87"/>
      <c r="G61" s="87"/>
      <c r="H61" s="87"/>
      <c r="I61" s="87"/>
      <c r="J61" s="88"/>
    </row>
    <row r="62" spans="2:14" x14ac:dyDescent="0.25">
      <c r="B62" s="65" t="s">
        <v>0</v>
      </c>
      <c r="C62" s="65" t="s">
        <v>1</v>
      </c>
      <c r="D62" s="77" t="s">
        <v>2</v>
      </c>
      <c r="E62" s="78"/>
      <c r="F62" s="79"/>
      <c r="G62" s="65" t="s">
        <v>4</v>
      </c>
      <c r="H62" s="65" t="s">
        <v>3</v>
      </c>
      <c r="I62" s="66" t="s">
        <v>5</v>
      </c>
      <c r="J62" s="65" t="s">
        <v>6</v>
      </c>
      <c r="K62" s="70" t="s">
        <v>91</v>
      </c>
      <c r="M62" s="48" t="s">
        <v>116</v>
      </c>
      <c r="N62" s="49"/>
    </row>
    <row r="63" spans="2:14" ht="45" x14ac:dyDescent="0.25">
      <c r="B63" s="65"/>
      <c r="C63" s="80"/>
      <c r="D63" s="2" t="s">
        <v>7</v>
      </c>
      <c r="E63" s="2" t="s">
        <v>11</v>
      </c>
      <c r="F63" s="2" t="s">
        <v>12</v>
      </c>
      <c r="G63" s="65"/>
      <c r="H63" s="65"/>
      <c r="I63" s="65"/>
      <c r="J63" s="65"/>
      <c r="K63" s="70"/>
      <c r="M63" s="50"/>
      <c r="N63" s="51"/>
    </row>
    <row r="64" spans="2:14" x14ac:dyDescent="0.25">
      <c r="B64" s="67" t="s">
        <v>13</v>
      </c>
      <c r="C64" s="68"/>
      <c r="D64" s="68"/>
      <c r="E64" s="68"/>
      <c r="F64" s="68"/>
      <c r="G64" s="68"/>
      <c r="H64" s="68"/>
      <c r="I64" s="69"/>
      <c r="J64" s="6">
        <f>ROUNDUP(K64/90,2)</f>
        <v>1</v>
      </c>
      <c r="K64" s="6">
        <v>90</v>
      </c>
      <c r="M64" s="52" t="s">
        <v>115</v>
      </c>
      <c r="N64" s="53"/>
    </row>
    <row r="65" spans="2:14" x14ac:dyDescent="0.25">
      <c r="B65" s="4">
        <v>1</v>
      </c>
      <c r="C65" s="22" t="s">
        <v>49</v>
      </c>
      <c r="D65" s="4"/>
      <c r="E65" s="4"/>
      <c r="F65" s="4"/>
      <c r="G65" s="4"/>
      <c r="H65" s="4"/>
      <c r="I65" s="4"/>
      <c r="J65" s="21">
        <f>J66+J67+J68+J69+J70</f>
        <v>115130</v>
      </c>
      <c r="M65" s="4">
        <v>1</v>
      </c>
      <c r="N65" s="1" t="s">
        <v>142</v>
      </c>
    </row>
    <row r="66" spans="2:14" x14ac:dyDescent="0.25">
      <c r="B66" s="27" t="s">
        <v>73</v>
      </c>
      <c r="C66" s="5" t="s">
        <v>40</v>
      </c>
      <c r="D66" s="4">
        <v>200</v>
      </c>
      <c r="E66" s="4">
        <v>6000</v>
      </c>
      <c r="F66" s="4">
        <v>9300</v>
      </c>
      <c r="G66" s="4">
        <f>D66*0.001*E66*0.001*F66*0.001</f>
        <v>11.16</v>
      </c>
      <c r="H66" s="4" t="s">
        <v>30</v>
      </c>
      <c r="I66" s="4">
        <f>5500*$J$64</f>
        <v>5500</v>
      </c>
      <c r="J66" s="8">
        <f>I66*G66</f>
        <v>61380</v>
      </c>
      <c r="M66" s="4">
        <v>2</v>
      </c>
      <c r="N66" s="1" t="s">
        <v>147</v>
      </c>
    </row>
    <row r="67" spans="2:14" x14ac:dyDescent="0.25">
      <c r="B67" s="27" t="s">
        <v>74</v>
      </c>
      <c r="C67" s="5" t="s">
        <v>47</v>
      </c>
      <c r="D67" s="4"/>
      <c r="E67" s="4"/>
      <c r="F67" s="4"/>
      <c r="G67" s="4">
        <v>0.5</v>
      </c>
      <c r="H67" s="4" t="s">
        <v>30</v>
      </c>
      <c r="I67" s="4">
        <f>5500*$J$64</f>
        <v>5500</v>
      </c>
      <c r="J67" s="8">
        <f>I67*G67</f>
        <v>2750</v>
      </c>
      <c r="M67" s="4">
        <v>3</v>
      </c>
      <c r="N67" s="39" t="s">
        <v>148</v>
      </c>
    </row>
    <row r="68" spans="2:14" x14ac:dyDescent="0.25">
      <c r="B68" s="27" t="s">
        <v>75</v>
      </c>
      <c r="C68" s="5" t="s">
        <v>57</v>
      </c>
      <c r="D68" s="4"/>
      <c r="E68" s="4"/>
      <c r="F68" s="4"/>
      <c r="G68" s="10">
        <v>1</v>
      </c>
      <c r="H68" s="4" t="s">
        <v>10</v>
      </c>
      <c r="I68" s="9">
        <f>30000*$J$64</f>
        <v>30000</v>
      </c>
      <c r="J68" s="8">
        <f>I68*G68</f>
        <v>30000</v>
      </c>
      <c r="M68" s="4">
        <v>4</v>
      </c>
      <c r="N68" s="1" t="s">
        <v>150</v>
      </c>
    </row>
    <row r="69" spans="2:14" x14ac:dyDescent="0.25">
      <c r="B69" s="27" t="s">
        <v>76</v>
      </c>
      <c r="C69" s="5" t="s">
        <v>64</v>
      </c>
      <c r="D69" s="4"/>
      <c r="E69" s="4"/>
      <c r="F69" s="4"/>
      <c r="G69" s="10">
        <v>1</v>
      </c>
      <c r="H69" s="4" t="s">
        <v>63</v>
      </c>
      <c r="I69" s="9">
        <f>1000*$J$64</f>
        <v>1000</v>
      </c>
      <c r="J69" s="8">
        <f>I69*G69</f>
        <v>1000</v>
      </c>
      <c r="M69" s="4">
        <v>5</v>
      </c>
      <c r="N69" s="39" t="s">
        <v>152</v>
      </c>
    </row>
    <row r="70" spans="2:14" x14ac:dyDescent="0.25">
      <c r="B70" s="27" t="s">
        <v>77</v>
      </c>
      <c r="C70" s="5" t="s">
        <v>72</v>
      </c>
      <c r="D70" s="4"/>
      <c r="E70" s="4"/>
      <c r="F70" s="4"/>
      <c r="G70" s="10">
        <v>1</v>
      </c>
      <c r="H70" s="4" t="s">
        <v>10</v>
      </c>
      <c r="I70" s="9">
        <f>20000*$J$64</f>
        <v>20000</v>
      </c>
      <c r="J70" s="8">
        <f t="shared" ref="J70" si="4">I70*G70</f>
        <v>20000</v>
      </c>
      <c r="M70" s="40" t="s">
        <v>131</v>
      </c>
      <c r="N70" s="41"/>
    </row>
    <row r="71" spans="2:14" x14ac:dyDescent="0.25">
      <c r="B71" s="62"/>
      <c r="C71" s="63"/>
      <c r="D71" s="63"/>
      <c r="E71" s="63"/>
      <c r="F71" s="63"/>
      <c r="G71" s="63"/>
      <c r="H71" s="63"/>
      <c r="I71" s="63"/>
      <c r="J71" s="64"/>
      <c r="M71" s="4">
        <v>1</v>
      </c>
      <c r="N71" s="1" t="s">
        <v>139</v>
      </c>
    </row>
    <row r="72" spans="2:14" x14ac:dyDescent="0.25">
      <c r="B72" s="4">
        <v>2</v>
      </c>
      <c r="C72" s="22" t="s">
        <v>50</v>
      </c>
      <c r="D72" s="4"/>
      <c r="E72" s="4"/>
      <c r="F72" s="4"/>
      <c r="G72" s="29">
        <f>G73+G74+G75</f>
        <v>1.1837564999999999</v>
      </c>
      <c r="H72" s="30" t="s">
        <v>45</v>
      </c>
      <c r="I72" s="30"/>
      <c r="J72" s="21">
        <f>J73+J74+J75+J76+J77+J78</f>
        <v>111933.9875</v>
      </c>
      <c r="M72" s="4">
        <v>2</v>
      </c>
      <c r="N72" s="1" t="s">
        <v>141</v>
      </c>
    </row>
    <row r="73" spans="2:14" x14ac:dyDescent="0.25">
      <c r="B73" s="27" t="s">
        <v>78</v>
      </c>
      <c r="C73" s="5" t="s">
        <v>41</v>
      </c>
      <c r="D73" s="4"/>
      <c r="E73" s="4"/>
      <c r="F73" s="4"/>
      <c r="G73" s="10">
        <f>1.208*600*0.001</f>
        <v>0.7248</v>
      </c>
      <c r="H73" s="4" t="s">
        <v>45</v>
      </c>
      <c r="I73" s="9">
        <f>70000*$J$64</f>
        <v>70000</v>
      </c>
      <c r="J73" s="8">
        <f>I73*G73</f>
        <v>50736</v>
      </c>
      <c r="M73" s="4">
        <v>3</v>
      </c>
      <c r="N73" s="1" t="s">
        <v>143</v>
      </c>
    </row>
    <row r="74" spans="2:14" x14ac:dyDescent="0.25">
      <c r="B74" s="27" t="s">
        <v>79</v>
      </c>
      <c r="C74" s="5" t="s">
        <v>39</v>
      </c>
      <c r="D74" s="4"/>
      <c r="E74" s="4"/>
      <c r="F74" s="4"/>
      <c r="G74" s="10">
        <f>0.617*600*0.001</f>
        <v>0.37019999999999997</v>
      </c>
      <c r="H74" s="4" t="s">
        <v>45</v>
      </c>
      <c r="I74" s="4">
        <f>75000*$J$64</f>
        <v>75000</v>
      </c>
      <c r="J74" s="8">
        <f>I74*G74</f>
        <v>27764.999999999996</v>
      </c>
      <c r="M74" s="4">
        <v>4</v>
      </c>
      <c r="N74" s="1" t="s">
        <v>145</v>
      </c>
    </row>
    <row r="75" spans="2:14" x14ac:dyDescent="0.25">
      <c r="B75" s="27" t="s">
        <v>80</v>
      </c>
      <c r="C75" s="5" t="s">
        <v>42</v>
      </c>
      <c r="D75" s="4"/>
      <c r="E75" s="4"/>
      <c r="F75" s="4"/>
      <c r="G75" s="19">
        <f>1.05*(0.395*146*0.62+0.395*147*0.84)*0.001</f>
        <v>8.8756500000000002E-2</v>
      </c>
      <c r="H75" s="4" t="s">
        <v>45</v>
      </c>
      <c r="I75" s="4">
        <f>75000*$J$64</f>
        <v>75000</v>
      </c>
      <c r="J75" s="8">
        <f>I75*G75</f>
        <v>6656.7375000000002</v>
      </c>
      <c r="M75" s="4">
        <v>5</v>
      </c>
      <c r="N75" s="1" t="s">
        <v>158</v>
      </c>
    </row>
    <row r="76" spans="2:14" x14ac:dyDescent="0.25">
      <c r="B76" s="27" t="s">
        <v>81</v>
      </c>
      <c r="C76" s="5" t="s">
        <v>58</v>
      </c>
      <c r="D76" s="4"/>
      <c r="E76" s="4"/>
      <c r="F76" s="4"/>
      <c r="G76" s="26">
        <f>1.2*50*0.25*G97</f>
        <v>769.50000000000011</v>
      </c>
      <c r="H76" s="4" t="s">
        <v>37</v>
      </c>
      <c r="I76" s="4">
        <f>7.5*$J$64</f>
        <v>7.5</v>
      </c>
      <c r="J76" s="8">
        <f>I76*G76</f>
        <v>5771.2500000000009</v>
      </c>
      <c r="M76" s="4">
        <v>6</v>
      </c>
      <c r="N76" s="1" t="s">
        <v>146</v>
      </c>
    </row>
    <row r="77" spans="2:14" x14ac:dyDescent="0.25">
      <c r="B77" s="27" t="s">
        <v>82</v>
      </c>
      <c r="C77" s="5" t="s">
        <v>70</v>
      </c>
      <c r="D77" s="4"/>
      <c r="E77" s="4"/>
      <c r="F77" s="4"/>
      <c r="G77" s="26">
        <f>ROUNDUP(E66*0.001*F66*0.001*6,0)</f>
        <v>335</v>
      </c>
      <c r="H77" s="4" t="s">
        <v>10</v>
      </c>
      <c r="I77" s="4">
        <f>3*$J$64</f>
        <v>3</v>
      </c>
      <c r="J77" s="8">
        <f>I77*G77</f>
        <v>1005</v>
      </c>
      <c r="M77" s="4">
        <v>7</v>
      </c>
      <c r="N77" s="1" t="s">
        <v>149</v>
      </c>
    </row>
    <row r="78" spans="2:14" x14ac:dyDescent="0.25">
      <c r="B78" s="27" t="s">
        <v>83</v>
      </c>
      <c r="C78" s="5" t="s">
        <v>72</v>
      </c>
      <c r="D78" s="4"/>
      <c r="E78" s="4"/>
      <c r="F78" s="4"/>
      <c r="G78" s="10">
        <v>1</v>
      </c>
      <c r="H78" s="4" t="s">
        <v>10</v>
      </c>
      <c r="I78" s="9">
        <f>20000*$J$64</f>
        <v>20000</v>
      </c>
      <c r="J78" s="8">
        <f t="shared" ref="J78" si="5">I78*G78</f>
        <v>20000</v>
      </c>
      <c r="M78" s="4">
        <v>8</v>
      </c>
      <c r="N78" s="1" t="s">
        <v>159</v>
      </c>
    </row>
    <row r="79" spans="2:14" x14ac:dyDescent="0.25">
      <c r="B79" s="62"/>
      <c r="C79" s="63"/>
      <c r="D79" s="63"/>
      <c r="E79" s="63"/>
      <c r="F79" s="63"/>
      <c r="G79" s="63"/>
      <c r="H79" s="63"/>
      <c r="I79" s="63"/>
      <c r="J79" s="64"/>
      <c r="M79" s="4">
        <v>9</v>
      </c>
      <c r="N79" s="1" t="s">
        <v>153</v>
      </c>
    </row>
    <row r="80" spans="2:14" x14ac:dyDescent="0.25">
      <c r="B80" s="4">
        <v>3</v>
      </c>
      <c r="C80" s="22" t="s">
        <v>43</v>
      </c>
      <c r="D80" s="4"/>
      <c r="E80" s="4"/>
      <c r="F80" s="4"/>
      <c r="G80" s="4"/>
      <c r="H80" s="4"/>
      <c r="I80" s="4"/>
      <c r="J80" s="21">
        <f>J82+J83+J84+J89</f>
        <v>76570</v>
      </c>
      <c r="M80" s="4">
        <v>10</v>
      </c>
      <c r="N80" s="42" t="s">
        <v>156</v>
      </c>
    </row>
    <row r="81" spans="2:10" x14ac:dyDescent="0.25">
      <c r="B81" s="27" t="s">
        <v>67</v>
      </c>
      <c r="C81" s="5" t="s">
        <v>44</v>
      </c>
      <c r="D81" s="30">
        <v>18</v>
      </c>
      <c r="E81" s="30">
        <v>1500</v>
      </c>
      <c r="F81" s="30">
        <v>3000</v>
      </c>
      <c r="G81" s="30">
        <v>13</v>
      </c>
      <c r="H81" s="30" t="s">
        <v>10</v>
      </c>
      <c r="I81" s="30">
        <f>4200*$J$64</f>
        <v>4200</v>
      </c>
      <c r="J81" s="21">
        <f>I81*G81</f>
        <v>54600</v>
      </c>
    </row>
    <row r="82" spans="2:10" x14ac:dyDescent="0.25">
      <c r="B82" s="27" t="s">
        <v>68</v>
      </c>
      <c r="C82" s="5" t="s">
        <v>59</v>
      </c>
      <c r="D82" s="4"/>
      <c r="E82" s="4"/>
      <c r="F82" s="4"/>
      <c r="G82" s="4">
        <f>G96+6*2*0.2+9.3*2*0.2</f>
        <v>6.120000000000001</v>
      </c>
      <c r="H82" s="4" t="s">
        <v>60</v>
      </c>
      <c r="I82" s="4">
        <f>150*$J$64</f>
        <v>150</v>
      </c>
      <c r="J82" s="8">
        <f>I82*G82</f>
        <v>918.00000000000011</v>
      </c>
    </row>
    <row r="83" spans="2:10" x14ac:dyDescent="0.25">
      <c r="B83" s="27" t="s">
        <v>69</v>
      </c>
      <c r="C83" s="5" t="s">
        <v>61</v>
      </c>
      <c r="D83" s="4"/>
      <c r="E83" s="4"/>
      <c r="F83" s="4"/>
      <c r="G83" s="4">
        <v>2</v>
      </c>
      <c r="H83" s="4" t="s">
        <v>10</v>
      </c>
      <c r="I83" s="9">
        <f>600*$J$64</f>
        <v>600</v>
      </c>
      <c r="J83" s="23">
        <f>I83*G83</f>
        <v>1200</v>
      </c>
    </row>
    <row r="84" spans="2:10" x14ac:dyDescent="0.25">
      <c r="B84" s="27" t="s">
        <v>84</v>
      </c>
      <c r="C84" s="24" t="s">
        <v>52</v>
      </c>
      <c r="D84" s="5"/>
      <c r="E84" s="4"/>
      <c r="F84" s="4"/>
      <c r="G84" s="4">
        <f>G97+6*2*0.2+9.3*2*0.2</f>
        <v>57.42</v>
      </c>
      <c r="H84" s="4" t="s">
        <v>19</v>
      </c>
      <c r="I84" s="4">
        <f>600*$J$64</f>
        <v>600</v>
      </c>
      <c r="J84" s="8">
        <f>I84*G84</f>
        <v>34452</v>
      </c>
    </row>
    <row r="85" spans="2:10" x14ac:dyDescent="0.25">
      <c r="B85" s="4"/>
      <c r="C85" s="25" t="s">
        <v>53</v>
      </c>
      <c r="D85" s="4"/>
      <c r="E85" s="4"/>
      <c r="F85" s="4"/>
      <c r="G85" s="4"/>
      <c r="H85" s="4"/>
      <c r="I85" s="4"/>
      <c r="J85" s="8"/>
    </row>
    <row r="86" spans="2:10" x14ac:dyDescent="0.25">
      <c r="B86" s="4"/>
      <c r="C86" s="25" t="s">
        <v>54</v>
      </c>
      <c r="D86" s="5"/>
      <c r="E86" s="4"/>
      <c r="F86" s="4"/>
      <c r="G86" s="4"/>
      <c r="H86" s="4"/>
      <c r="I86" s="4"/>
      <c r="J86" s="4"/>
    </row>
    <row r="87" spans="2:10" x14ac:dyDescent="0.25">
      <c r="B87" s="4"/>
      <c r="C87" s="25" t="s">
        <v>55</v>
      </c>
      <c r="D87" s="5"/>
      <c r="E87" s="4"/>
      <c r="F87" s="4"/>
      <c r="G87" s="4"/>
      <c r="H87" s="4"/>
      <c r="I87" s="4"/>
      <c r="J87" s="4"/>
    </row>
    <row r="88" spans="2:10" x14ac:dyDescent="0.25">
      <c r="B88" s="4"/>
      <c r="C88" s="25" t="s">
        <v>56</v>
      </c>
      <c r="D88" s="5"/>
      <c r="E88" s="4"/>
      <c r="F88" s="4"/>
      <c r="G88" s="4"/>
      <c r="H88" s="4"/>
      <c r="I88" s="4"/>
      <c r="J88" s="4"/>
    </row>
    <row r="89" spans="2:10" x14ac:dyDescent="0.25">
      <c r="B89" s="27" t="s">
        <v>85</v>
      </c>
      <c r="C89" s="5" t="s">
        <v>51</v>
      </c>
      <c r="D89" s="4"/>
      <c r="E89" s="4"/>
      <c r="F89" s="4"/>
      <c r="G89" s="10">
        <v>1</v>
      </c>
      <c r="H89" s="4" t="s">
        <v>10</v>
      </c>
      <c r="I89" s="9">
        <f>40000*$J$64</f>
        <v>40000</v>
      </c>
      <c r="J89" s="8">
        <f>I89*G89</f>
        <v>40000</v>
      </c>
    </row>
    <row r="90" spans="2:10" x14ac:dyDescent="0.25">
      <c r="B90" s="62"/>
      <c r="C90" s="63"/>
      <c r="D90" s="63"/>
      <c r="E90" s="63"/>
      <c r="F90" s="63"/>
      <c r="G90" s="63"/>
      <c r="H90" s="63"/>
      <c r="I90" s="63"/>
      <c r="J90" s="64"/>
    </row>
    <row r="91" spans="2:10" x14ac:dyDescent="0.25">
      <c r="B91" s="4">
        <v>4</v>
      </c>
      <c r="C91" s="22" t="s">
        <v>29</v>
      </c>
      <c r="D91" s="30">
        <v>50</v>
      </c>
      <c r="E91" s="30"/>
      <c r="F91" s="30"/>
      <c r="G91" s="30">
        <f>ROUNDUP(G97*D91*0.001,2)</f>
        <v>2.57</v>
      </c>
      <c r="H91" s="30" t="s">
        <v>30</v>
      </c>
      <c r="I91" s="30"/>
      <c r="J91" s="21">
        <f>J92+J93+J94+J95</f>
        <v>50923.8</v>
      </c>
    </row>
    <row r="92" spans="2:10" ht="30" x14ac:dyDescent="0.25">
      <c r="B92" s="27" t="s">
        <v>86</v>
      </c>
      <c r="C92" s="17" t="s">
        <v>31</v>
      </c>
      <c r="D92" s="4"/>
      <c r="E92" s="4"/>
      <c r="F92" s="4"/>
      <c r="G92" s="4">
        <f>ROUNDUP((20*G97*D91*0.1)/40,0)</f>
        <v>129</v>
      </c>
      <c r="H92" s="4" t="s">
        <v>10</v>
      </c>
      <c r="I92" s="38">
        <f>310*$J$64</f>
        <v>310</v>
      </c>
      <c r="J92" s="8">
        <f>I92*G92</f>
        <v>39990</v>
      </c>
    </row>
    <row r="93" spans="2:10" x14ac:dyDescent="0.25">
      <c r="B93" s="27" t="s">
        <v>87</v>
      </c>
      <c r="C93" s="5" t="s">
        <v>35</v>
      </c>
      <c r="D93" s="4">
        <v>10</v>
      </c>
      <c r="E93" s="4"/>
      <c r="F93" s="4">
        <v>3000</v>
      </c>
      <c r="G93" s="4">
        <v>14</v>
      </c>
      <c r="H93" s="4" t="s">
        <v>10</v>
      </c>
      <c r="I93" s="38">
        <f>52*$J$64</f>
        <v>52</v>
      </c>
      <c r="J93" s="8">
        <f>I93*G93</f>
        <v>728</v>
      </c>
    </row>
    <row r="94" spans="2:10" ht="30" x14ac:dyDescent="0.25">
      <c r="B94" s="27" t="s">
        <v>109</v>
      </c>
      <c r="C94" s="5" t="s">
        <v>126</v>
      </c>
      <c r="D94" s="4">
        <v>50</v>
      </c>
      <c r="E94" s="4"/>
      <c r="F94" s="4"/>
      <c r="G94" s="4">
        <v>29.4</v>
      </c>
      <c r="H94" s="4" t="s">
        <v>125</v>
      </c>
      <c r="I94" s="4">
        <v>7</v>
      </c>
      <c r="J94" s="8">
        <f>I94*G94</f>
        <v>205.79999999999998</v>
      </c>
    </row>
    <row r="95" spans="2:10" x14ac:dyDescent="0.25">
      <c r="B95" s="27" t="s">
        <v>127</v>
      </c>
      <c r="C95" s="5" t="s">
        <v>72</v>
      </c>
      <c r="D95" s="4"/>
      <c r="E95" s="4"/>
      <c r="F95" s="4"/>
      <c r="G95" s="10">
        <v>1</v>
      </c>
      <c r="H95" s="4" t="s">
        <v>10</v>
      </c>
      <c r="I95" s="9">
        <f>10000*$J$37</f>
        <v>10000</v>
      </c>
      <c r="J95" s="8">
        <f t="shared" ref="J95" si="6">I95*G95</f>
        <v>10000</v>
      </c>
    </row>
    <row r="96" spans="2:10" ht="15.75" x14ac:dyDescent="0.25">
      <c r="B96" s="54" t="s">
        <v>25</v>
      </c>
      <c r="C96" s="54"/>
      <c r="D96" s="54"/>
      <c r="E96" s="54"/>
      <c r="F96" s="54"/>
      <c r="G96" s="54"/>
      <c r="H96" s="54"/>
      <c r="I96" s="54"/>
      <c r="J96" s="11">
        <f>J66+J67+J68+J69+J70+J76+J77+J78+J82+J83+J89+J73+J74+J75+J84+J91+J92+J93+J94+J95</f>
        <v>405481.58749999997</v>
      </c>
    </row>
    <row r="97" spans="2:10" ht="15.75" x14ac:dyDescent="0.25">
      <c r="B97" s="13" t="s">
        <v>26</v>
      </c>
      <c r="C97" s="14"/>
      <c r="D97" s="14"/>
      <c r="E97" s="15">
        <v>5.7</v>
      </c>
      <c r="F97" s="15">
        <v>9</v>
      </c>
      <c r="G97" s="15">
        <f>E97*F97</f>
        <v>51.300000000000004</v>
      </c>
      <c r="H97" s="15" t="s">
        <v>19</v>
      </c>
      <c r="I97" s="13"/>
      <c r="J97" s="12"/>
    </row>
    <row r="98" spans="2:10" ht="15.75" x14ac:dyDescent="0.25">
      <c r="B98" s="55" t="s">
        <v>27</v>
      </c>
      <c r="C98" s="55"/>
      <c r="D98" s="55"/>
      <c r="E98" s="55"/>
      <c r="F98" s="55"/>
      <c r="G98" s="55"/>
      <c r="H98" s="55"/>
      <c r="I98" s="55"/>
      <c r="J98" s="16">
        <f>J96/G97</f>
        <v>7904.1245126705644</v>
      </c>
    </row>
  </sheetData>
  <sheetProtection algorithmName="SHA-512" hashValue="MgLkT0Y3I5w08faHp/SXAnKGkXArdTKfPyu2BfJHJg7kNmPVSYriJwGskgiI3N9bxPWIogI6AIZa1ECTqPmKKw==" saltValue="PnXT0X+BGFLkbM1RwOi8JA==" spinCount="100000" sheet="1" objects="1" scenarios="1"/>
  <protectedRanges>
    <protectedRange sqref="B35:K60 K34 B62:K98 K61 B6:K33" name="Диапазон1"/>
  </protectedRanges>
  <mergeCells count="65">
    <mergeCell ref="M16:N16"/>
    <mergeCell ref="M44:N44"/>
    <mergeCell ref="M62:N63"/>
    <mergeCell ref="M64:N64"/>
    <mergeCell ref="B4:J4"/>
    <mergeCell ref="B33:J33"/>
    <mergeCell ref="B5:J5"/>
    <mergeCell ref="B34:J34"/>
    <mergeCell ref="B60:J60"/>
    <mergeCell ref="B61:J61"/>
    <mergeCell ref="K62:K63"/>
    <mergeCell ref="B11:J11"/>
    <mergeCell ref="C13:J13"/>
    <mergeCell ref="C15:J15"/>
    <mergeCell ref="C17:J17"/>
    <mergeCell ref="B19:J19"/>
    <mergeCell ref="B27:I27"/>
    <mergeCell ref="B29:I29"/>
    <mergeCell ref="B31:J31"/>
    <mergeCell ref="B32:J32"/>
    <mergeCell ref="B35:B36"/>
    <mergeCell ref="C35:C36"/>
    <mergeCell ref="D35:F35"/>
    <mergeCell ref="B64:I64"/>
    <mergeCell ref="B96:I96"/>
    <mergeCell ref="B98:I98"/>
    <mergeCell ref="B48:J48"/>
    <mergeCell ref="B71:J71"/>
    <mergeCell ref="B79:J79"/>
    <mergeCell ref="B90:J90"/>
    <mergeCell ref="B58:J58"/>
    <mergeCell ref="B59:J59"/>
    <mergeCell ref="B62:B63"/>
    <mergeCell ref="C62:C63"/>
    <mergeCell ref="D62:F62"/>
    <mergeCell ref="G62:G63"/>
    <mergeCell ref="H62:H63"/>
    <mergeCell ref="I62:I63"/>
    <mergeCell ref="J62:J63"/>
    <mergeCell ref="B2:J2"/>
    <mergeCell ref="B3:J3"/>
    <mergeCell ref="D6:F6"/>
    <mergeCell ref="B8:I8"/>
    <mergeCell ref="B6:B7"/>
    <mergeCell ref="C6:C7"/>
    <mergeCell ref="G6:G7"/>
    <mergeCell ref="H6:H7"/>
    <mergeCell ref="I6:I7"/>
    <mergeCell ref="J6:J7"/>
    <mergeCell ref="M6:N7"/>
    <mergeCell ref="M8:N8"/>
    <mergeCell ref="B54:I54"/>
    <mergeCell ref="B56:I56"/>
    <mergeCell ref="C39:J39"/>
    <mergeCell ref="C41:J41"/>
    <mergeCell ref="B43:J43"/>
    <mergeCell ref="G35:G36"/>
    <mergeCell ref="H35:H36"/>
    <mergeCell ref="I35:I36"/>
    <mergeCell ref="J35:J36"/>
    <mergeCell ref="B37:I37"/>
    <mergeCell ref="K6:K7"/>
    <mergeCell ref="K35:K36"/>
    <mergeCell ref="M35:N36"/>
    <mergeCell ref="M37:N37"/>
  </mergeCells>
  <hyperlinks>
    <hyperlink ref="B61" r:id="rId1" xr:uid="{00000000-0004-0000-0000-000002000000}"/>
    <hyperlink ref="B34" r:id="rId2" xr:uid="{00000000-0004-0000-0000-000001000000}"/>
    <hyperlink ref="B5" r:id="rId3" xr:uid="{00000000-0004-0000-0000-000000000000}"/>
  </hyperlinks>
  <pageMargins left="0.7" right="0.7" top="0.75" bottom="0.75" header="0.3" footer="0.3"/>
  <pageSetup paperSize="9" orientation="portrait" r:id="rId4"/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K119"/>
  <sheetViews>
    <sheetView workbookViewId="0">
      <selection activeCell="Q26" sqref="Q26"/>
    </sheetView>
  </sheetViews>
  <sheetFormatPr defaultRowHeight="15" x14ac:dyDescent="0.25"/>
  <cols>
    <col min="1" max="1" width="6.7109375" customWidth="1"/>
    <col min="2" max="2" width="4.85546875" style="3" customWidth="1"/>
    <col min="3" max="3" width="36.5703125" customWidth="1"/>
    <col min="4" max="6" width="11.28515625" style="3" customWidth="1"/>
    <col min="7" max="8" width="9.140625" style="3"/>
    <col min="9" max="9" width="12" style="3" customWidth="1"/>
    <col min="10" max="10" width="12.7109375" style="3" customWidth="1"/>
    <col min="11" max="11" width="10.7109375" customWidth="1"/>
  </cols>
  <sheetData>
    <row r="2" spans="2:11" ht="24.95" customHeight="1" x14ac:dyDescent="0.25">
      <c r="B2" s="71" t="s">
        <v>8</v>
      </c>
      <c r="C2" s="72"/>
      <c r="D2" s="72"/>
      <c r="E2" s="72"/>
      <c r="F2" s="72"/>
      <c r="G2" s="72"/>
      <c r="H2" s="72"/>
      <c r="I2" s="72"/>
      <c r="J2" s="73"/>
    </row>
    <row r="3" spans="2:11" ht="20.100000000000001" customHeight="1" x14ac:dyDescent="0.25">
      <c r="B3" s="74" t="s">
        <v>95</v>
      </c>
      <c r="C3" s="75"/>
      <c r="D3" s="75"/>
      <c r="E3" s="75"/>
      <c r="F3" s="75"/>
      <c r="G3" s="75"/>
      <c r="H3" s="75"/>
      <c r="I3" s="75"/>
      <c r="J3" s="76"/>
    </row>
    <row r="4" spans="2:11" ht="249.95" customHeight="1" x14ac:dyDescent="0.25">
      <c r="B4" s="83"/>
      <c r="C4" s="84"/>
      <c r="D4" s="84"/>
      <c r="E4" s="84"/>
      <c r="F4" s="84"/>
      <c r="G4" s="84"/>
      <c r="H4" s="84"/>
      <c r="I4" s="84"/>
      <c r="J4" s="85"/>
    </row>
    <row r="5" spans="2:11" ht="15" customHeight="1" x14ac:dyDescent="0.25">
      <c r="B5" s="86" t="s">
        <v>177</v>
      </c>
      <c r="C5" s="87"/>
      <c r="D5" s="87"/>
      <c r="E5" s="87"/>
      <c r="F5" s="87"/>
      <c r="G5" s="87"/>
      <c r="H5" s="87"/>
      <c r="I5" s="87"/>
      <c r="J5" s="88"/>
    </row>
    <row r="6" spans="2:11" ht="15" customHeight="1" x14ac:dyDescent="0.25">
      <c r="B6" s="65" t="s">
        <v>0</v>
      </c>
      <c r="C6" s="65" t="s">
        <v>1</v>
      </c>
      <c r="D6" s="77" t="s">
        <v>2</v>
      </c>
      <c r="E6" s="78"/>
      <c r="F6" s="79"/>
      <c r="G6" s="65" t="s">
        <v>4</v>
      </c>
      <c r="H6" s="65" t="s">
        <v>3</v>
      </c>
      <c r="I6" s="66" t="s">
        <v>5</v>
      </c>
      <c r="J6" s="65" t="s">
        <v>6</v>
      </c>
      <c r="K6" s="70" t="s">
        <v>91</v>
      </c>
    </row>
    <row r="7" spans="2:11" ht="45" x14ac:dyDescent="0.25">
      <c r="B7" s="65"/>
      <c r="C7" s="80"/>
      <c r="D7" s="2" t="s">
        <v>7</v>
      </c>
      <c r="E7" s="2" t="s">
        <v>11</v>
      </c>
      <c r="F7" s="2" t="s">
        <v>12</v>
      </c>
      <c r="G7" s="65"/>
      <c r="H7" s="65"/>
      <c r="I7" s="65"/>
      <c r="J7" s="65"/>
      <c r="K7" s="70"/>
    </row>
    <row r="8" spans="2:11" x14ac:dyDescent="0.25">
      <c r="B8" s="67" t="s">
        <v>13</v>
      </c>
      <c r="C8" s="68"/>
      <c r="D8" s="68"/>
      <c r="E8" s="68"/>
      <c r="F8" s="68"/>
      <c r="G8" s="68"/>
      <c r="H8" s="68"/>
      <c r="I8" s="69"/>
      <c r="J8" s="6">
        <f>ROUNDUP(K8/90,2)</f>
        <v>1</v>
      </c>
      <c r="K8" s="6">
        <v>90</v>
      </c>
    </row>
    <row r="9" spans="2:11" x14ac:dyDescent="0.25">
      <c r="B9" s="4">
        <v>1</v>
      </c>
      <c r="C9" s="22" t="s">
        <v>98</v>
      </c>
      <c r="D9" s="28"/>
      <c r="E9" s="28"/>
      <c r="F9" s="28"/>
      <c r="G9" s="28"/>
      <c r="H9" s="28"/>
      <c r="I9" s="28"/>
      <c r="J9" s="21">
        <f>J10+J11+J12+J13</f>
        <v>51394</v>
      </c>
      <c r="K9" s="34"/>
    </row>
    <row r="10" spans="2:11" x14ac:dyDescent="0.25">
      <c r="B10" s="27" t="s">
        <v>73</v>
      </c>
      <c r="C10" s="1" t="s">
        <v>15</v>
      </c>
      <c r="D10" s="4">
        <v>50</v>
      </c>
      <c r="E10" s="4">
        <v>200</v>
      </c>
      <c r="F10" s="4">
        <v>6000</v>
      </c>
      <c r="G10" s="4">
        <v>15</v>
      </c>
      <c r="H10" s="4" t="s">
        <v>10</v>
      </c>
      <c r="I10" s="4">
        <f>2700*$J$8</f>
        <v>2700</v>
      </c>
      <c r="J10" s="8">
        <f t="shared" ref="J10:J32" si="0">I10*G10</f>
        <v>40500</v>
      </c>
    </row>
    <row r="11" spans="2:11" x14ac:dyDescent="0.25">
      <c r="B11" s="27" t="s">
        <v>74</v>
      </c>
      <c r="C11" s="1" t="s">
        <v>15</v>
      </c>
      <c r="D11" s="4">
        <v>50</v>
      </c>
      <c r="E11" s="4">
        <v>200</v>
      </c>
      <c r="F11" s="4">
        <v>6000</v>
      </c>
      <c r="G11" s="4">
        <v>8</v>
      </c>
      <c r="H11" s="4" t="s">
        <v>10</v>
      </c>
      <c r="I11" s="4">
        <f>850*$J$8</f>
        <v>850</v>
      </c>
      <c r="J11" s="8">
        <f t="shared" si="0"/>
        <v>6800</v>
      </c>
    </row>
    <row r="12" spans="2:11" x14ac:dyDescent="0.25">
      <c r="B12" s="27" t="s">
        <v>75</v>
      </c>
      <c r="C12" s="5" t="s">
        <v>18</v>
      </c>
      <c r="D12" s="4"/>
      <c r="E12" s="4"/>
      <c r="F12" s="4"/>
      <c r="G12" s="4">
        <f>(D10*0.001*2+E10*0.001*2)*G10*2</f>
        <v>15</v>
      </c>
      <c r="H12" s="4" t="s">
        <v>19</v>
      </c>
      <c r="I12" s="4">
        <f>160*$J$8</f>
        <v>160</v>
      </c>
      <c r="J12" s="8">
        <f t="shared" ref="J12:J13" si="1">I12*G12</f>
        <v>2400</v>
      </c>
    </row>
    <row r="13" spans="2:11" ht="30" x14ac:dyDescent="0.25">
      <c r="B13" s="27" t="s">
        <v>76</v>
      </c>
      <c r="C13" s="5" t="s">
        <v>22</v>
      </c>
      <c r="D13" s="4"/>
      <c r="E13" s="4"/>
      <c r="F13" s="4"/>
      <c r="G13" s="4">
        <f>11*7*4*2</f>
        <v>616</v>
      </c>
      <c r="H13" s="4" t="s">
        <v>10</v>
      </c>
      <c r="I13" s="4">
        <f>2.75*$J$8</f>
        <v>2.75</v>
      </c>
      <c r="J13" s="8">
        <f t="shared" si="1"/>
        <v>1694</v>
      </c>
    </row>
    <row r="14" spans="2:11" x14ac:dyDescent="0.25">
      <c r="B14" s="62"/>
      <c r="C14" s="63"/>
      <c r="D14" s="63"/>
      <c r="E14" s="63"/>
      <c r="F14" s="63"/>
      <c r="G14" s="63"/>
      <c r="H14" s="63"/>
      <c r="I14" s="63"/>
      <c r="J14" s="64"/>
    </row>
    <row r="15" spans="2:11" x14ac:dyDescent="0.25">
      <c r="B15" s="4">
        <v>2</v>
      </c>
      <c r="C15" s="22" t="s">
        <v>62</v>
      </c>
      <c r="D15" s="28"/>
      <c r="E15" s="28"/>
      <c r="F15" s="28"/>
      <c r="G15" s="28"/>
      <c r="H15" s="28"/>
      <c r="I15" s="28"/>
      <c r="J15" s="21">
        <f>J18+J19+J20+J21+J22+J23</f>
        <v>258577.6</v>
      </c>
    </row>
    <row r="16" spans="2:11" x14ac:dyDescent="0.25">
      <c r="B16" s="27" t="s">
        <v>78</v>
      </c>
      <c r="C16" s="5" t="s">
        <v>65</v>
      </c>
      <c r="D16" s="30">
        <v>36</v>
      </c>
      <c r="E16" s="30">
        <v>140</v>
      </c>
      <c r="F16" s="30">
        <v>3000</v>
      </c>
      <c r="G16" s="30">
        <v>123</v>
      </c>
      <c r="H16" s="30" t="s">
        <v>10</v>
      </c>
      <c r="I16" s="30">
        <f>550*$J$8</f>
        <v>550</v>
      </c>
      <c r="J16" s="21">
        <f t="shared" si="0"/>
        <v>67650</v>
      </c>
    </row>
    <row r="17" spans="2:10" x14ac:dyDescent="0.25">
      <c r="B17" s="27" t="s">
        <v>79</v>
      </c>
      <c r="C17" s="5" t="s">
        <v>21</v>
      </c>
      <c r="D17" s="30"/>
      <c r="E17" s="30"/>
      <c r="F17" s="30"/>
      <c r="G17" s="35">
        <f>16*41+41</f>
        <v>697</v>
      </c>
      <c r="H17" s="30" t="s">
        <v>10</v>
      </c>
      <c r="I17" s="30">
        <f>1.1*$J$8</f>
        <v>1.1000000000000001</v>
      </c>
      <c r="J17" s="21">
        <f t="shared" ref="J17" si="2">I17*G17</f>
        <v>766.7</v>
      </c>
    </row>
    <row r="18" spans="2:10" x14ac:dyDescent="0.25">
      <c r="B18" s="33" t="s">
        <v>80</v>
      </c>
      <c r="C18" s="18" t="s">
        <v>15</v>
      </c>
      <c r="D18" s="9">
        <v>50</v>
      </c>
      <c r="E18" s="9">
        <v>150</v>
      </c>
      <c r="F18" s="9">
        <v>6000</v>
      </c>
      <c r="G18" s="9">
        <v>58</v>
      </c>
      <c r="H18" s="9" t="s">
        <v>10</v>
      </c>
      <c r="I18" s="9">
        <f>750*$J$8</f>
        <v>750</v>
      </c>
      <c r="J18" s="20">
        <f t="shared" ref="J18:J19" si="3">I18*G18</f>
        <v>43500</v>
      </c>
    </row>
    <row r="19" spans="2:10" x14ac:dyDescent="0.25">
      <c r="B19" s="33" t="s">
        <v>81</v>
      </c>
      <c r="C19" s="5" t="s">
        <v>99</v>
      </c>
      <c r="D19" s="4"/>
      <c r="E19" s="4"/>
      <c r="F19" s="4"/>
      <c r="G19" s="10">
        <f>ROUNDUP(20*G18,0)</f>
        <v>1160</v>
      </c>
      <c r="H19" s="4" t="s">
        <v>10</v>
      </c>
      <c r="I19" s="9">
        <f>2*$J$8</f>
        <v>2</v>
      </c>
      <c r="J19" s="8">
        <f t="shared" si="3"/>
        <v>2320</v>
      </c>
    </row>
    <row r="20" spans="2:10" x14ac:dyDescent="0.25">
      <c r="B20" s="33" t="s">
        <v>82</v>
      </c>
      <c r="C20" s="18" t="s">
        <v>93</v>
      </c>
      <c r="D20" s="9"/>
      <c r="E20" s="9">
        <v>1500</v>
      </c>
      <c r="F20" s="9">
        <v>50000</v>
      </c>
      <c r="G20" s="9">
        <f>1.5*9.1*4+9.1*0.4</f>
        <v>58.239999999999995</v>
      </c>
      <c r="H20" s="9" t="s">
        <v>19</v>
      </c>
      <c r="I20" s="9">
        <f>90*$J$8</f>
        <v>90</v>
      </c>
      <c r="J20" s="20">
        <f t="shared" ref="J20:J23" si="4">I20*G20</f>
        <v>5241.5999999999995</v>
      </c>
    </row>
    <row r="21" spans="2:10" x14ac:dyDescent="0.25">
      <c r="B21" s="33" t="s">
        <v>83</v>
      </c>
      <c r="C21" s="18" t="s">
        <v>94</v>
      </c>
      <c r="D21" s="9">
        <v>200</v>
      </c>
      <c r="E21" s="9">
        <v>600</v>
      </c>
      <c r="F21" s="9">
        <v>1200</v>
      </c>
      <c r="G21" s="9">
        <f>14*E21*0.001*E34*D21*0.001</f>
        <v>9.5760000000000005</v>
      </c>
      <c r="H21" s="9" t="s">
        <v>30</v>
      </c>
      <c r="I21" s="9">
        <f>21000*$J$8</f>
        <v>21000</v>
      </c>
      <c r="J21" s="20">
        <f t="shared" si="4"/>
        <v>201096</v>
      </c>
    </row>
    <row r="22" spans="2:10" x14ac:dyDescent="0.25">
      <c r="B22" s="33" t="s">
        <v>122</v>
      </c>
      <c r="C22" s="5" t="s">
        <v>17</v>
      </c>
      <c r="D22" s="4">
        <v>30</v>
      </c>
      <c r="E22" s="4">
        <v>50</v>
      </c>
      <c r="F22" s="4">
        <v>3000</v>
      </c>
      <c r="G22" s="4">
        <v>30</v>
      </c>
      <c r="H22" s="4" t="s">
        <v>10</v>
      </c>
      <c r="I22" s="4">
        <v>200</v>
      </c>
      <c r="J22" s="8">
        <f t="shared" si="4"/>
        <v>6000</v>
      </c>
    </row>
    <row r="23" spans="2:10" x14ac:dyDescent="0.25">
      <c r="B23" s="33" t="s">
        <v>123</v>
      </c>
      <c r="C23" s="5" t="s">
        <v>124</v>
      </c>
      <c r="D23" s="4"/>
      <c r="E23" s="4"/>
      <c r="F23" s="4"/>
      <c r="G23" s="10">
        <v>600</v>
      </c>
      <c r="H23" s="4" t="s">
        <v>10</v>
      </c>
      <c r="I23" s="9">
        <v>0.7</v>
      </c>
      <c r="J23" s="8">
        <f t="shared" si="4"/>
        <v>420</v>
      </c>
    </row>
    <row r="24" spans="2:10" x14ac:dyDescent="0.25">
      <c r="B24" s="62"/>
      <c r="C24" s="63"/>
      <c r="D24" s="63"/>
      <c r="E24" s="63"/>
      <c r="F24" s="63"/>
      <c r="G24" s="63"/>
      <c r="H24" s="63"/>
      <c r="I24" s="63"/>
      <c r="J24" s="64"/>
    </row>
    <row r="25" spans="2:10" x14ac:dyDescent="0.25">
      <c r="B25" s="4">
        <v>3</v>
      </c>
      <c r="C25" s="22" t="s">
        <v>92</v>
      </c>
      <c r="D25" s="28"/>
      <c r="E25" s="28"/>
      <c r="F25" s="28"/>
      <c r="G25" s="28"/>
      <c r="H25" s="28"/>
      <c r="I25" s="28"/>
      <c r="J25" s="21">
        <f>J26+J27+J28+J29</f>
        <v>25678.84</v>
      </c>
    </row>
    <row r="26" spans="2:10" x14ac:dyDescent="0.25">
      <c r="B26" s="33" t="s">
        <v>67</v>
      </c>
      <c r="C26" s="5" t="s">
        <v>17</v>
      </c>
      <c r="D26" s="4">
        <v>20</v>
      </c>
      <c r="E26" s="4">
        <v>96</v>
      </c>
      <c r="F26" s="4">
        <v>3000</v>
      </c>
      <c r="G26" s="4">
        <f>3*11</f>
        <v>33</v>
      </c>
      <c r="H26" s="4" t="s">
        <v>10</v>
      </c>
      <c r="I26" s="4">
        <v>150</v>
      </c>
      <c r="J26" s="8">
        <f t="shared" si="0"/>
        <v>4950</v>
      </c>
    </row>
    <row r="27" spans="2:10" x14ac:dyDescent="0.25">
      <c r="B27" s="33" t="s">
        <v>68</v>
      </c>
      <c r="C27" s="18" t="s">
        <v>96</v>
      </c>
      <c r="D27" s="9"/>
      <c r="E27" s="9">
        <v>1500</v>
      </c>
      <c r="F27" s="9">
        <v>46000</v>
      </c>
      <c r="G27" s="9">
        <f>1.5*9.1*4+9.1*0.4</f>
        <v>58.239999999999995</v>
      </c>
      <c r="H27" s="9" t="s">
        <v>19</v>
      </c>
      <c r="I27" s="9">
        <f>25*$J$8</f>
        <v>25</v>
      </c>
      <c r="J27" s="20">
        <f t="shared" si="0"/>
        <v>1455.9999999999998</v>
      </c>
    </row>
    <row r="28" spans="2:10" x14ac:dyDescent="0.25">
      <c r="B28" s="33" t="s">
        <v>69</v>
      </c>
      <c r="C28" s="18" t="s">
        <v>97</v>
      </c>
      <c r="D28" s="9">
        <v>12.5</v>
      </c>
      <c r="E28" s="9">
        <v>1200</v>
      </c>
      <c r="F28" s="9">
        <v>2500</v>
      </c>
      <c r="G28" s="9">
        <f>G34*2</f>
        <v>102.60000000000001</v>
      </c>
      <c r="H28" s="9" t="s">
        <v>19</v>
      </c>
      <c r="I28" s="9">
        <f>167*$J$8</f>
        <v>167</v>
      </c>
      <c r="J28" s="20">
        <f t="shared" ref="J28:J29" si="5">I28*G28</f>
        <v>17134.2</v>
      </c>
    </row>
    <row r="29" spans="2:10" x14ac:dyDescent="0.25">
      <c r="B29" s="33" t="s">
        <v>84</v>
      </c>
      <c r="C29" s="5" t="s">
        <v>23</v>
      </c>
      <c r="D29" s="4"/>
      <c r="E29" s="4"/>
      <c r="F29" s="4"/>
      <c r="G29" s="10">
        <f>ROUNDUP(34*G28+5*2*G26,0)</f>
        <v>3819</v>
      </c>
      <c r="H29" s="4" t="s">
        <v>10</v>
      </c>
      <c r="I29" s="9">
        <f>0.56*$J$8</f>
        <v>0.56000000000000005</v>
      </c>
      <c r="J29" s="8">
        <f t="shared" si="5"/>
        <v>2138.6400000000003</v>
      </c>
    </row>
    <row r="30" spans="2:10" x14ac:dyDescent="0.25">
      <c r="B30" s="62"/>
      <c r="C30" s="63"/>
      <c r="D30" s="63"/>
      <c r="E30" s="63"/>
      <c r="F30" s="63"/>
      <c r="G30" s="63"/>
      <c r="H30" s="63"/>
      <c r="I30" s="63"/>
      <c r="J30" s="64"/>
    </row>
    <row r="31" spans="2:10" x14ac:dyDescent="0.25">
      <c r="B31" s="4">
        <v>4</v>
      </c>
      <c r="C31" s="18" t="s">
        <v>20</v>
      </c>
      <c r="D31" s="4"/>
      <c r="E31" s="4"/>
      <c r="F31" s="4"/>
      <c r="G31" s="7">
        <f>((2*D10*0.001+2*E10*0.001)*F10*0.001+D10*0.001*E10*0.001*2)*G10+((2*D11*0.001+2*E11*0.001)*F11*0.001+D11*0.001*E11*0.001*2)*G11+((2*D18*0.001+2*E18*0.001)*F18*0.001+D18*0.001*E18*0.001*2)*G18</f>
        <v>209.52999999999997</v>
      </c>
      <c r="H31" s="4" t="s">
        <v>19</v>
      </c>
      <c r="I31" s="4">
        <f>45*$J$8</f>
        <v>45</v>
      </c>
      <c r="J31" s="8">
        <f t="shared" si="0"/>
        <v>9428.8499999999985</v>
      </c>
    </row>
    <row r="32" spans="2:10" x14ac:dyDescent="0.25">
      <c r="B32" s="4">
        <v>5</v>
      </c>
      <c r="C32" s="5" t="s">
        <v>71</v>
      </c>
      <c r="D32" s="4"/>
      <c r="E32" s="4"/>
      <c r="F32" s="4"/>
      <c r="G32" s="10">
        <v>1</v>
      </c>
      <c r="H32" s="4" t="s">
        <v>10</v>
      </c>
      <c r="I32" s="9">
        <f>5000*$J$8</f>
        <v>5000</v>
      </c>
      <c r="J32" s="8">
        <f t="shared" si="0"/>
        <v>5000</v>
      </c>
    </row>
    <row r="33" spans="2:11" ht="20.100000000000001" customHeight="1" x14ac:dyDescent="0.25">
      <c r="B33" s="54" t="s">
        <v>25</v>
      </c>
      <c r="C33" s="54"/>
      <c r="D33" s="54"/>
      <c r="E33" s="54"/>
      <c r="F33" s="54"/>
      <c r="G33" s="54"/>
      <c r="H33" s="54"/>
      <c r="I33" s="54"/>
      <c r="J33" s="11">
        <f>J10+J11+J12+J13+J18+J19+J20+J21+J22+J23+J26+J27+J28+J29+J31+J32</f>
        <v>350079.29</v>
      </c>
    </row>
    <row r="34" spans="2:11" ht="15.75" x14ac:dyDescent="0.25">
      <c r="B34" s="13" t="s">
        <v>26</v>
      </c>
      <c r="C34" s="14"/>
      <c r="D34" s="14"/>
      <c r="E34" s="15">
        <v>5.7</v>
      </c>
      <c r="F34" s="15">
        <v>9</v>
      </c>
      <c r="G34" s="15">
        <f>E34*F34</f>
        <v>51.300000000000004</v>
      </c>
      <c r="H34" s="15" t="s">
        <v>19</v>
      </c>
      <c r="I34" s="13"/>
      <c r="J34" s="12"/>
    </row>
    <row r="35" spans="2:11" ht="20.100000000000001" customHeight="1" x14ac:dyDescent="0.25">
      <c r="B35" s="55" t="s">
        <v>27</v>
      </c>
      <c r="C35" s="55"/>
      <c r="D35" s="55"/>
      <c r="E35" s="55"/>
      <c r="F35" s="55"/>
      <c r="G35" s="55"/>
      <c r="H35" s="55"/>
      <c r="I35" s="55"/>
      <c r="J35" s="16">
        <f>J33/G34</f>
        <v>6824.1576998050668</v>
      </c>
    </row>
    <row r="37" spans="2:11" ht="24.95" customHeight="1" x14ac:dyDescent="0.25">
      <c r="B37" s="71" t="s">
        <v>28</v>
      </c>
      <c r="C37" s="72"/>
      <c r="D37" s="72"/>
      <c r="E37" s="72"/>
      <c r="F37" s="72"/>
      <c r="G37" s="72"/>
      <c r="H37" s="72"/>
      <c r="I37" s="72"/>
      <c r="J37" s="73"/>
    </row>
    <row r="38" spans="2:11" ht="20.100000000000001" customHeight="1" x14ac:dyDescent="0.25">
      <c r="B38" s="74" t="s">
        <v>95</v>
      </c>
      <c r="C38" s="75"/>
      <c r="D38" s="75"/>
      <c r="E38" s="75"/>
      <c r="F38" s="75"/>
      <c r="G38" s="75"/>
      <c r="H38" s="75"/>
      <c r="I38" s="75"/>
      <c r="J38" s="76"/>
    </row>
    <row r="39" spans="2:11" ht="249.95" customHeight="1" x14ac:dyDescent="0.25">
      <c r="B39" s="83"/>
      <c r="C39" s="84"/>
      <c r="D39" s="84"/>
      <c r="E39" s="84"/>
      <c r="F39" s="84"/>
      <c r="G39" s="84"/>
      <c r="H39" s="84"/>
      <c r="I39" s="84"/>
      <c r="J39" s="85"/>
    </row>
    <row r="40" spans="2:11" ht="15" customHeight="1" x14ac:dyDescent="0.25">
      <c r="B40" s="86" t="s">
        <v>177</v>
      </c>
      <c r="C40" s="87"/>
      <c r="D40" s="87"/>
      <c r="E40" s="87"/>
      <c r="F40" s="87"/>
      <c r="G40" s="87"/>
      <c r="H40" s="87"/>
      <c r="I40" s="87"/>
      <c r="J40" s="88"/>
    </row>
    <row r="41" spans="2:11" x14ac:dyDescent="0.25">
      <c r="B41" s="65" t="s">
        <v>0</v>
      </c>
      <c r="C41" s="65" t="s">
        <v>1</v>
      </c>
      <c r="D41" s="77" t="s">
        <v>2</v>
      </c>
      <c r="E41" s="78"/>
      <c r="F41" s="79"/>
      <c r="G41" s="65" t="s">
        <v>4</v>
      </c>
      <c r="H41" s="65" t="s">
        <v>3</v>
      </c>
      <c r="I41" s="66" t="s">
        <v>5</v>
      </c>
      <c r="J41" s="65" t="s">
        <v>6</v>
      </c>
      <c r="K41" s="70" t="s">
        <v>91</v>
      </c>
    </row>
    <row r="42" spans="2:11" ht="45" x14ac:dyDescent="0.25">
      <c r="B42" s="65"/>
      <c r="C42" s="80"/>
      <c r="D42" s="2" t="s">
        <v>7</v>
      </c>
      <c r="E42" s="2" t="s">
        <v>11</v>
      </c>
      <c r="F42" s="2" t="s">
        <v>12</v>
      </c>
      <c r="G42" s="65"/>
      <c r="H42" s="65"/>
      <c r="I42" s="65"/>
      <c r="J42" s="65"/>
      <c r="K42" s="70"/>
    </row>
    <row r="43" spans="2:11" x14ac:dyDescent="0.25">
      <c r="B43" s="67" t="s">
        <v>13</v>
      </c>
      <c r="C43" s="68"/>
      <c r="D43" s="68"/>
      <c r="E43" s="68"/>
      <c r="F43" s="68"/>
      <c r="G43" s="68"/>
      <c r="H43" s="68"/>
      <c r="I43" s="69"/>
      <c r="J43" s="6">
        <f>ROUNDUP(K43/90,2)</f>
        <v>1</v>
      </c>
      <c r="K43" s="6">
        <v>90</v>
      </c>
    </row>
    <row r="44" spans="2:11" x14ac:dyDescent="0.25">
      <c r="B44" s="4">
        <v>1</v>
      </c>
      <c r="C44" s="22" t="s">
        <v>101</v>
      </c>
      <c r="D44" s="30"/>
      <c r="E44" s="4"/>
      <c r="F44" s="4"/>
      <c r="G44" s="30"/>
      <c r="H44" s="30"/>
      <c r="I44" s="4"/>
      <c r="J44" s="21">
        <f>J45+J46+J47+J48+J49</f>
        <v>166093.20000000001</v>
      </c>
      <c r="K44" s="34"/>
    </row>
    <row r="45" spans="2:11" ht="30" x14ac:dyDescent="0.25">
      <c r="B45" s="27" t="s">
        <v>73</v>
      </c>
      <c r="C45" s="18" t="s">
        <v>90</v>
      </c>
      <c r="D45" s="4">
        <v>220</v>
      </c>
      <c r="E45" s="4">
        <v>1500</v>
      </c>
      <c r="F45" s="4">
        <v>6000</v>
      </c>
      <c r="G45" s="4">
        <v>6</v>
      </c>
      <c r="H45" s="4" t="s">
        <v>10</v>
      </c>
      <c r="I45" s="4">
        <f>21500*$J$43</f>
        <v>21500</v>
      </c>
      <c r="J45" s="8">
        <f>I45*G45</f>
        <v>129000</v>
      </c>
    </row>
    <row r="46" spans="2:11" ht="15" customHeight="1" x14ac:dyDescent="0.25">
      <c r="B46" s="37" t="s">
        <v>74</v>
      </c>
      <c r="C46" s="17" t="s">
        <v>31</v>
      </c>
      <c r="D46" s="4"/>
      <c r="E46" s="4"/>
      <c r="F46" s="4"/>
      <c r="G46" s="4">
        <v>2</v>
      </c>
      <c r="H46" s="4" t="s">
        <v>10</v>
      </c>
      <c r="I46" s="4">
        <f>310*$J$43</f>
        <v>310</v>
      </c>
      <c r="J46" s="8">
        <f>I46*G46</f>
        <v>620</v>
      </c>
    </row>
    <row r="47" spans="2:11" ht="15" customHeight="1" x14ac:dyDescent="0.25">
      <c r="B47" s="37" t="s">
        <v>75</v>
      </c>
      <c r="C47" s="5" t="s">
        <v>24</v>
      </c>
      <c r="D47" s="4"/>
      <c r="E47" s="4"/>
      <c r="F47" s="4"/>
      <c r="G47" s="10">
        <v>1</v>
      </c>
      <c r="H47" s="4" t="s">
        <v>10</v>
      </c>
      <c r="I47" s="9">
        <f>20000*$J$43</f>
        <v>20000</v>
      </c>
      <c r="J47" s="8">
        <f>I47*G47</f>
        <v>20000</v>
      </c>
    </row>
    <row r="48" spans="2:11" ht="15" customHeight="1" x14ac:dyDescent="0.25">
      <c r="B48" s="37" t="s">
        <v>76</v>
      </c>
      <c r="C48" s="5" t="s">
        <v>32</v>
      </c>
      <c r="D48" s="4"/>
      <c r="E48" s="4"/>
      <c r="F48" s="4"/>
      <c r="G48" s="4">
        <v>4</v>
      </c>
      <c r="H48" s="4" t="s">
        <v>33</v>
      </c>
      <c r="I48" s="4">
        <f>4000*$J$43</f>
        <v>4000</v>
      </c>
      <c r="J48" s="8">
        <f>I48*G48</f>
        <v>16000</v>
      </c>
    </row>
    <row r="49" spans="2:10" ht="15" customHeight="1" x14ac:dyDescent="0.25">
      <c r="B49" s="37" t="s">
        <v>77</v>
      </c>
      <c r="C49" s="18" t="s">
        <v>36</v>
      </c>
      <c r="D49" s="4"/>
      <c r="E49" s="4"/>
      <c r="F49" s="4"/>
      <c r="G49" s="4">
        <f>14*0.65</f>
        <v>9.1</v>
      </c>
      <c r="H49" s="4" t="s">
        <v>37</v>
      </c>
      <c r="I49" s="4">
        <f>52*$J$43</f>
        <v>52</v>
      </c>
      <c r="J49" s="8">
        <f>I49*G49</f>
        <v>473.2</v>
      </c>
    </row>
    <row r="50" spans="2:10" ht="15" customHeight="1" x14ac:dyDescent="0.25">
      <c r="B50" s="62"/>
      <c r="C50" s="63"/>
      <c r="D50" s="63"/>
      <c r="E50" s="63"/>
      <c r="F50" s="63"/>
      <c r="G50" s="63"/>
      <c r="H50" s="63"/>
      <c r="I50" s="63"/>
      <c r="J50" s="64"/>
    </row>
    <row r="51" spans="2:10" ht="15" customHeight="1" x14ac:dyDescent="0.25">
      <c r="B51" s="4">
        <v>2</v>
      </c>
      <c r="C51" s="22" t="s">
        <v>104</v>
      </c>
      <c r="D51" s="30"/>
      <c r="E51" s="4"/>
      <c r="F51" s="4"/>
      <c r="G51" s="30"/>
      <c r="H51" s="30"/>
      <c r="I51" s="4"/>
      <c r="J51" s="21">
        <f>J52+J53+J54+J55</f>
        <v>243077.6</v>
      </c>
    </row>
    <row r="52" spans="2:10" ht="15" customHeight="1" x14ac:dyDescent="0.25">
      <c r="B52" s="33" t="s">
        <v>78</v>
      </c>
      <c r="C52" s="18" t="s">
        <v>94</v>
      </c>
      <c r="D52" s="9">
        <v>200</v>
      </c>
      <c r="E52" s="9">
        <v>600</v>
      </c>
      <c r="F52" s="9">
        <v>1200</v>
      </c>
      <c r="G52" s="9">
        <f>ROUNDUP(G64*D52*0.001*1.05,2)</f>
        <v>10.78</v>
      </c>
      <c r="H52" s="9" t="s">
        <v>30</v>
      </c>
      <c r="I52" s="9">
        <f>21000*$J$43</f>
        <v>21000</v>
      </c>
      <c r="J52" s="20">
        <f t="shared" ref="J52:J55" si="6">I52*G52</f>
        <v>226380</v>
      </c>
    </row>
    <row r="53" spans="2:10" ht="15" customHeight="1" x14ac:dyDescent="0.25">
      <c r="B53" s="33" t="s">
        <v>79</v>
      </c>
      <c r="C53" s="18" t="s">
        <v>105</v>
      </c>
      <c r="D53" s="9"/>
      <c r="E53" s="9">
        <v>1500</v>
      </c>
      <c r="F53" s="9">
        <v>50000</v>
      </c>
      <c r="G53" s="9">
        <f>1.5*9.1*4+9.1*0.4</f>
        <v>58.239999999999995</v>
      </c>
      <c r="H53" s="9" t="s">
        <v>19</v>
      </c>
      <c r="I53" s="9">
        <f>90*$J$43</f>
        <v>90</v>
      </c>
      <c r="J53" s="20">
        <f t="shared" si="6"/>
        <v>5241.5999999999995</v>
      </c>
    </row>
    <row r="54" spans="2:10" ht="15" customHeight="1" x14ac:dyDescent="0.25">
      <c r="B54" s="33" t="s">
        <v>80</v>
      </c>
      <c r="C54" s="18" t="s">
        <v>96</v>
      </c>
      <c r="D54" s="9"/>
      <c r="E54" s="9">
        <v>1500</v>
      </c>
      <c r="F54" s="9">
        <v>46000</v>
      </c>
      <c r="G54" s="9">
        <f>1.5*9.1*4+9.1*0.4</f>
        <v>58.239999999999995</v>
      </c>
      <c r="H54" s="9" t="s">
        <v>19</v>
      </c>
      <c r="I54" s="9">
        <f>25*$J$43</f>
        <v>25</v>
      </c>
      <c r="J54" s="20">
        <f t="shared" si="6"/>
        <v>1455.9999999999998</v>
      </c>
    </row>
    <row r="55" spans="2:10" ht="15" customHeight="1" x14ac:dyDescent="0.25">
      <c r="B55" s="27" t="s">
        <v>81</v>
      </c>
      <c r="C55" s="5" t="s">
        <v>72</v>
      </c>
      <c r="D55" s="4"/>
      <c r="E55" s="4"/>
      <c r="F55" s="4"/>
      <c r="G55" s="10">
        <v>1</v>
      </c>
      <c r="H55" s="4" t="s">
        <v>10</v>
      </c>
      <c r="I55" s="9">
        <f>10000*$J$43</f>
        <v>10000</v>
      </c>
      <c r="J55" s="8">
        <f t="shared" si="6"/>
        <v>10000</v>
      </c>
    </row>
    <row r="56" spans="2:10" ht="15" customHeight="1" x14ac:dyDescent="0.25">
      <c r="B56" s="62"/>
      <c r="C56" s="63"/>
      <c r="D56" s="63"/>
      <c r="E56" s="63"/>
      <c r="F56" s="63"/>
      <c r="G56" s="63"/>
      <c r="H56" s="63"/>
      <c r="I56" s="63"/>
      <c r="J56" s="64"/>
    </row>
    <row r="57" spans="2:10" ht="30" x14ac:dyDescent="0.25">
      <c r="B57" s="4">
        <v>3</v>
      </c>
      <c r="C57" s="36" t="s">
        <v>100</v>
      </c>
      <c r="D57" s="30">
        <v>50</v>
      </c>
      <c r="E57" s="4"/>
      <c r="F57" s="4"/>
      <c r="G57" s="30">
        <f>ROUNDUP(G64*D57*0.001,2)</f>
        <v>2.57</v>
      </c>
      <c r="H57" s="30" t="s">
        <v>30</v>
      </c>
      <c r="I57" s="4"/>
      <c r="J57" s="21">
        <f>J58+J59+J60+J61+J62</f>
        <v>70673.8</v>
      </c>
    </row>
    <row r="58" spans="2:10" ht="30" x14ac:dyDescent="0.25">
      <c r="B58" s="27" t="s">
        <v>67</v>
      </c>
      <c r="C58" s="17" t="s">
        <v>31</v>
      </c>
      <c r="D58" s="4"/>
      <c r="E58" s="4"/>
      <c r="F58" s="4"/>
      <c r="G58" s="4">
        <f>ROUNDUP((20*G64*D57*0.1)/40,0)</f>
        <v>129</v>
      </c>
      <c r="H58" s="4" t="s">
        <v>10</v>
      </c>
      <c r="I58" s="4">
        <f>310*$J$43</f>
        <v>310</v>
      </c>
      <c r="J58" s="8">
        <f>I58*G58</f>
        <v>39990</v>
      </c>
    </row>
    <row r="59" spans="2:10" x14ac:dyDescent="0.25">
      <c r="B59" s="27" t="s">
        <v>68</v>
      </c>
      <c r="C59" s="5" t="s">
        <v>107</v>
      </c>
      <c r="D59" s="4"/>
      <c r="E59" s="4"/>
      <c r="F59" s="4"/>
      <c r="G59" s="19">
        <f>ROUNDUP(1.05*521*0.222*0.001,2)</f>
        <v>0.13</v>
      </c>
      <c r="H59" s="4" t="s">
        <v>45</v>
      </c>
      <c r="I59" s="4">
        <f>75000*$J$43</f>
        <v>75000</v>
      </c>
      <c r="J59" s="8">
        <f>I59*G59</f>
        <v>9750</v>
      </c>
    </row>
    <row r="60" spans="2:10" x14ac:dyDescent="0.25">
      <c r="B60" s="27" t="s">
        <v>69</v>
      </c>
      <c r="C60" s="5" t="s">
        <v>35</v>
      </c>
      <c r="D60" s="4">
        <v>10</v>
      </c>
      <c r="E60" s="4"/>
      <c r="F60" s="4">
        <v>3000</v>
      </c>
      <c r="G60" s="4">
        <v>14</v>
      </c>
      <c r="H60" s="4" t="s">
        <v>10</v>
      </c>
      <c r="I60" s="4">
        <f>52*$J$43</f>
        <v>52</v>
      </c>
      <c r="J60" s="8">
        <f>I60*G60</f>
        <v>728</v>
      </c>
    </row>
    <row r="61" spans="2:10" ht="30" x14ac:dyDescent="0.25">
      <c r="B61" s="27" t="s">
        <v>84</v>
      </c>
      <c r="C61" s="5" t="s">
        <v>126</v>
      </c>
      <c r="D61" s="4">
        <v>50</v>
      </c>
      <c r="E61" s="4"/>
      <c r="F61" s="4"/>
      <c r="G61" s="4">
        <v>29.4</v>
      </c>
      <c r="H61" s="4" t="s">
        <v>125</v>
      </c>
      <c r="I61" s="4">
        <v>7</v>
      </c>
      <c r="J61" s="8">
        <f>I61*G61</f>
        <v>205.79999999999998</v>
      </c>
    </row>
    <row r="62" spans="2:10" x14ac:dyDescent="0.25">
      <c r="B62" s="27" t="s">
        <v>85</v>
      </c>
      <c r="C62" s="5" t="s">
        <v>72</v>
      </c>
      <c r="D62" s="4"/>
      <c r="E62" s="4"/>
      <c r="F62" s="4"/>
      <c r="G62" s="10">
        <v>1</v>
      </c>
      <c r="H62" s="4" t="s">
        <v>10</v>
      </c>
      <c r="I62" s="9">
        <v>20000</v>
      </c>
      <c r="J62" s="8">
        <f t="shared" ref="J62" si="7">I62*G62</f>
        <v>20000</v>
      </c>
    </row>
    <row r="63" spans="2:10" ht="15.75" x14ac:dyDescent="0.25">
      <c r="B63" s="54" t="s">
        <v>25</v>
      </c>
      <c r="C63" s="54"/>
      <c r="D63" s="54"/>
      <c r="E63" s="54"/>
      <c r="F63" s="54"/>
      <c r="G63" s="54"/>
      <c r="H63" s="54"/>
      <c r="I63" s="54"/>
      <c r="J63" s="11">
        <f>J45+J46+J47+J48+J49+J52+J53+J54+J55+J59+J57+J58+J60+J61+J62</f>
        <v>550518.4</v>
      </c>
    </row>
    <row r="64" spans="2:10" ht="15.75" x14ac:dyDescent="0.25">
      <c r="B64" s="13" t="s">
        <v>26</v>
      </c>
      <c r="C64" s="14"/>
      <c r="D64" s="14"/>
      <c r="E64" s="15">
        <v>5.7</v>
      </c>
      <c r="F64" s="15">
        <v>9</v>
      </c>
      <c r="G64" s="15">
        <f>E64*F64</f>
        <v>51.300000000000004</v>
      </c>
      <c r="H64" s="15" t="s">
        <v>19</v>
      </c>
      <c r="I64" s="13"/>
      <c r="J64" s="12"/>
    </row>
    <row r="65" spans="2:11" ht="15.75" x14ac:dyDescent="0.25">
      <c r="B65" s="55" t="s">
        <v>27</v>
      </c>
      <c r="C65" s="55"/>
      <c r="D65" s="55"/>
      <c r="E65" s="55"/>
      <c r="F65" s="55"/>
      <c r="G65" s="55"/>
      <c r="H65" s="55"/>
      <c r="I65" s="55"/>
      <c r="J65" s="16">
        <f>J63/G64</f>
        <v>10731.352826510722</v>
      </c>
    </row>
    <row r="67" spans="2:11" ht="24.95" customHeight="1" x14ac:dyDescent="0.25">
      <c r="B67" s="71" t="s">
        <v>38</v>
      </c>
      <c r="C67" s="72"/>
      <c r="D67" s="72"/>
      <c r="E67" s="72"/>
      <c r="F67" s="72"/>
      <c r="G67" s="72"/>
      <c r="H67" s="72"/>
      <c r="I67" s="72"/>
      <c r="J67" s="73"/>
    </row>
    <row r="68" spans="2:11" ht="20.100000000000001" customHeight="1" x14ac:dyDescent="0.25">
      <c r="B68" s="74" t="s">
        <v>95</v>
      </c>
      <c r="C68" s="75"/>
      <c r="D68" s="75"/>
      <c r="E68" s="75"/>
      <c r="F68" s="75"/>
      <c r="G68" s="75"/>
      <c r="H68" s="75"/>
      <c r="I68" s="75"/>
      <c r="J68" s="76"/>
    </row>
    <row r="69" spans="2:11" ht="320.10000000000002" customHeight="1" x14ac:dyDescent="0.25">
      <c r="B69" s="83"/>
      <c r="C69" s="84"/>
      <c r="D69" s="84"/>
      <c r="E69" s="84"/>
      <c r="F69" s="84"/>
      <c r="G69" s="84"/>
      <c r="H69" s="84"/>
      <c r="I69" s="84"/>
      <c r="J69" s="85"/>
    </row>
    <row r="70" spans="2:11" ht="15" customHeight="1" x14ac:dyDescent="0.25">
      <c r="B70" s="86" t="s">
        <v>177</v>
      </c>
      <c r="C70" s="87"/>
      <c r="D70" s="87"/>
      <c r="E70" s="87"/>
      <c r="F70" s="87"/>
      <c r="G70" s="87"/>
      <c r="H70" s="87"/>
      <c r="I70" s="87"/>
      <c r="J70" s="88"/>
    </row>
    <row r="71" spans="2:11" x14ac:dyDescent="0.25">
      <c r="B71" s="65" t="s">
        <v>0</v>
      </c>
      <c r="C71" s="65" t="s">
        <v>1</v>
      </c>
      <c r="D71" s="77" t="s">
        <v>2</v>
      </c>
      <c r="E71" s="78"/>
      <c r="F71" s="79"/>
      <c r="G71" s="65" t="s">
        <v>4</v>
      </c>
      <c r="H71" s="65" t="s">
        <v>3</v>
      </c>
      <c r="I71" s="66" t="s">
        <v>5</v>
      </c>
      <c r="J71" s="65" t="s">
        <v>6</v>
      </c>
      <c r="K71" s="70" t="s">
        <v>91</v>
      </c>
    </row>
    <row r="72" spans="2:11" ht="45" x14ac:dyDescent="0.25">
      <c r="B72" s="65"/>
      <c r="C72" s="80"/>
      <c r="D72" s="2" t="s">
        <v>7</v>
      </c>
      <c r="E72" s="2" t="s">
        <v>11</v>
      </c>
      <c r="F72" s="2" t="s">
        <v>12</v>
      </c>
      <c r="G72" s="65"/>
      <c r="H72" s="65"/>
      <c r="I72" s="65"/>
      <c r="J72" s="65"/>
      <c r="K72" s="70"/>
    </row>
    <row r="73" spans="2:11" x14ac:dyDescent="0.25">
      <c r="B73" s="67" t="s">
        <v>13</v>
      </c>
      <c r="C73" s="68"/>
      <c r="D73" s="68"/>
      <c r="E73" s="68"/>
      <c r="F73" s="68"/>
      <c r="G73" s="68"/>
      <c r="H73" s="68"/>
      <c r="I73" s="69"/>
      <c r="J73" s="6">
        <f>ROUNDUP(K73/90,2)</f>
        <v>1</v>
      </c>
      <c r="K73" s="6">
        <v>90</v>
      </c>
    </row>
    <row r="74" spans="2:11" x14ac:dyDescent="0.25">
      <c r="B74" s="4">
        <v>1</v>
      </c>
      <c r="C74" s="22" t="s">
        <v>49</v>
      </c>
      <c r="D74" s="4"/>
      <c r="E74" s="4"/>
      <c r="F74" s="4"/>
      <c r="G74" s="4"/>
      <c r="H74" s="4"/>
      <c r="I74" s="4"/>
      <c r="J74" s="21">
        <f>J75+J76+J77+J78+J79</f>
        <v>115130</v>
      </c>
    </row>
    <row r="75" spans="2:11" x14ac:dyDescent="0.25">
      <c r="B75" s="27" t="s">
        <v>73</v>
      </c>
      <c r="C75" s="5" t="s">
        <v>40</v>
      </c>
      <c r="D75" s="4">
        <v>200</v>
      </c>
      <c r="E75" s="4">
        <v>6000</v>
      </c>
      <c r="F75" s="4">
        <v>9300</v>
      </c>
      <c r="G75" s="4">
        <f>D75*0.001*E75*0.001*F75*0.001</f>
        <v>11.16</v>
      </c>
      <c r="H75" s="4" t="s">
        <v>30</v>
      </c>
      <c r="I75" s="4">
        <f>5500*$J$73</f>
        <v>5500</v>
      </c>
      <c r="J75" s="8">
        <f>I75*G75</f>
        <v>61380</v>
      </c>
    </row>
    <row r="76" spans="2:11" x14ac:dyDescent="0.25">
      <c r="B76" s="27" t="s">
        <v>74</v>
      </c>
      <c r="C76" s="5" t="s">
        <v>47</v>
      </c>
      <c r="D76" s="4"/>
      <c r="E76" s="4"/>
      <c r="F76" s="4"/>
      <c r="G76" s="4">
        <v>0.5</v>
      </c>
      <c r="H76" s="4" t="s">
        <v>30</v>
      </c>
      <c r="I76" s="4">
        <f>5500*$J$73</f>
        <v>5500</v>
      </c>
      <c r="J76" s="8">
        <f>I76*G76</f>
        <v>2750</v>
      </c>
    </row>
    <row r="77" spans="2:11" x14ac:dyDescent="0.25">
      <c r="B77" s="27" t="s">
        <v>75</v>
      </c>
      <c r="C77" s="5" t="s">
        <v>57</v>
      </c>
      <c r="D77" s="4"/>
      <c r="E77" s="4"/>
      <c r="F77" s="4"/>
      <c r="G77" s="10">
        <v>1</v>
      </c>
      <c r="H77" s="4" t="s">
        <v>10</v>
      </c>
      <c r="I77" s="9">
        <f>30000*$J$73</f>
        <v>30000</v>
      </c>
      <c r="J77" s="8">
        <f>I77*G77</f>
        <v>30000</v>
      </c>
    </row>
    <row r="78" spans="2:11" x14ac:dyDescent="0.25">
      <c r="B78" s="27" t="s">
        <v>76</v>
      </c>
      <c r="C78" s="5" t="s">
        <v>64</v>
      </c>
      <c r="D78" s="4"/>
      <c r="E78" s="4"/>
      <c r="F78" s="4"/>
      <c r="G78" s="10">
        <v>1</v>
      </c>
      <c r="H78" s="4" t="s">
        <v>63</v>
      </c>
      <c r="I78" s="9">
        <f>1000*$J$73</f>
        <v>1000</v>
      </c>
      <c r="J78" s="8">
        <f>I78*G78</f>
        <v>1000</v>
      </c>
    </row>
    <row r="79" spans="2:11" x14ac:dyDescent="0.25">
      <c r="B79" s="27" t="s">
        <v>77</v>
      </c>
      <c r="C79" s="5" t="s">
        <v>72</v>
      </c>
      <c r="D79" s="4"/>
      <c r="E79" s="4"/>
      <c r="F79" s="4"/>
      <c r="G79" s="10">
        <v>1</v>
      </c>
      <c r="H79" s="4" t="s">
        <v>10</v>
      </c>
      <c r="I79" s="9">
        <f>20000*$J$73</f>
        <v>20000</v>
      </c>
      <c r="J79" s="8">
        <f t="shared" ref="J79" si="8">I79*G79</f>
        <v>20000</v>
      </c>
    </row>
    <row r="80" spans="2:11" x14ac:dyDescent="0.25">
      <c r="B80" s="62"/>
      <c r="C80" s="63"/>
      <c r="D80" s="63"/>
      <c r="E80" s="63"/>
      <c r="F80" s="63"/>
      <c r="G80" s="63"/>
      <c r="H80" s="63"/>
      <c r="I80" s="63"/>
      <c r="J80" s="64"/>
    </row>
    <row r="81" spans="2:10" x14ac:dyDescent="0.25">
      <c r="B81" s="4">
        <v>2</v>
      </c>
      <c r="C81" s="22" t="s">
        <v>50</v>
      </c>
      <c r="D81" s="4"/>
      <c r="E81" s="4"/>
      <c r="F81" s="4"/>
      <c r="G81" s="29">
        <f>G82+G83+G84</f>
        <v>1.180164765</v>
      </c>
      <c r="H81" s="30" t="s">
        <v>45</v>
      </c>
      <c r="I81" s="30"/>
      <c r="J81" s="21">
        <f>J82+J83+J84+J85+J86+J87</f>
        <v>111664.60737499999</v>
      </c>
    </row>
    <row r="82" spans="2:10" x14ac:dyDescent="0.25">
      <c r="B82" s="27" t="s">
        <v>78</v>
      </c>
      <c r="C82" s="5" t="s">
        <v>41</v>
      </c>
      <c r="D82" s="4"/>
      <c r="E82" s="4"/>
      <c r="F82" s="4"/>
      <c r="G82" s="10">
        <f>1.208*600*0.001</f>
        <v>0.7248</v>
      </c>
      <c r="H82" s="4" t="s">
        <v>45</v>
      </c>
      <c r="I82" s="9">
        <f>70000*$J$73</f>
        <v>70000</v>
      </c>
      <c r="J82" s="8">
        <f>I82*G82</f>
        <v>50736</v>
      </c>
    </row>
    <row r="83" spans="2:10" x14ac:dyDescent="0.25">
      <c r="B83" s="27" t="s">
        <v>79</v>
      </c>
      <c r="C83" s="5" t="s">
        <v>39</v>
      </c>
      <c r="D83" s="4"/>
      <c r="E83" s="4"/>
      <c r="F83" s="4"/>
      <c r="G83" s="10">
        <f>0.617*600*0.001</f>
        <v>0.37019999999999997</v>
      </c>
      <c r="H83" s="4" t="s">
        <v>45</v>
      </c>
      <c r="I83" s="4">
        <f>75000*$J$73</f>
        <v>75000</v>
      </c>
      <c r="J83" s="8">
        <f>I83*G83</f>
        <v>27764.999999999996</v>
      </c>
    </row>
    <row r="84" spans="2:10" x14ac:dyDescent="0.25">
      <c r="B84" s="27" t="s">
        <v>80</v>
      </c>
      <c r="C84" s="5" t="s">
        <v>42</v>
      </c>
      <c r="D84" s="4"/>
      <c r="E84" s="4"/>
      <c r="F84" s="4"/>
      <c r="G84" s="19">
        <f>1.05*(0.395*150*0.62+0.395*137*0.82)*0.001</f>
        <v>8.516476499999999E-2</v>
      </c>
      <c r="H84" s="4" t="s">
        <v>45</v>
      </c>
      <c r="I84" s="4">
        <f>75000*$J$73</f>
        <v>75000</v>
      </c>
      <c r="J84" s="8">
        <f>I84*G84</f>
        <v>6387.3573749999996</v>
      </c>
    </row>
    <row r="85" spans="2:10" x14ac:dyDescent="0.25">
      <c r="B85" s="27" t="s">
        <v>81</v>
      </c>
      <c r="C85" s="5" t="s">
        <v>58</v>
      </c>
      <c r="D85" s="4"/>
      <c r="E85" s="4"/>
      <c r="F85" s="4"/>
      <c r="G85" s="26">
        <f>1.2*50*0.25*G118</f>
        <v>769.50000000000011</v>
      </c>
      <c r="H85" s="4" t="s">
        <v>37</v>
      </c>
      <c r="I85" s="4">
        <f>7.5*$J$73</f>
        <v>7.5</v>
      </c>
      <c r="J85" s="8">
        <f>I85*G85</f>
        <v>5771.2500000000009</v>
      </c>
    </row>
    <row r="86" spans="2:10" x14ac:dyDescent="0.25">
      <c r="B86" s="27" t="s">
        <v>82</v>
      </c>
      <c r="C86" s="5" t="s">
        <v>70</v>
      </c>
      <c r="D86" s="4"/>
      <c r="E86" s="4"/>
      <c r="F86" s="4"/>
      <c r="G86" s="26">
        <f>ROUNDUP(E75*0.001*F75*0.001*6,0)</f>
        <v>335</v>
      </c>
      <c r="H86" s="4" t="s">
        <v>10</v>
      </c>
      <c r="I86" s="4">
        <f>3*$J$73</f>
        <v>3</v>
      </c>
      <c r="J86" s="8">
        <f>I86*G86</f>
        <v>1005</v>
      </c>
    </row>
    <row r="87" spans="2:10" x14ac:dyDescent="0.25">
      <c r="B87" s="27" t="s">
        <v>83</v>
      </c>
      <c r="C87" s="5" t="s">
        <v>72</v>
      </c>
      <c r="D87" s="4"/>
      <c r="E87" s="4"/>
      <c r="F87" s="4"/>
      <c r="G87" s="10">
        <v>1</v>
      </c>
      <c r="H87" s="4" t="s">
        <v>10</v>
      </c>
      <c r="I87" s="9">
        <f>20000*$J$73</f>
        <v>20000</v>
      </c>
      <c r="J87" s="8">
        <f t="shared" ref="J87" si="9">I87*G87</f>
        <v>20000</v>
      </c>
    </row>
    <row r="88" spans="2:10" x14ac:dyDescent="0.25">
      <c r="B88" s="62"/>
      <c r="C88" s="63"/>
      <c r="D88" s="63"/>
      <c r="E88" s="63"/>
      <c r="F88" s="63"/>
      <c r="G88" s="63"/>
      <c r="H88" s="63"/>
      <c r="I88" s="63"/>
      <c r="J88" s="64"/>
    </row>
    <row r="89" spans="2:10" x14ac:dyDescent="0.25">
      <c r="B89" s="4">
        <v>3</v>
      </c>
      <c r="C89" s="22" t="s">
        <v>43</v>
      </c>
      <c r="D89" s="4"/>
      <c r="E89" s="4"/>
      <c r="F89" s="4"/>
      <c r="G89" s="4"/>
      <c r="H89" s="4"/>
      <c r="I89" s="4"/>
      <c r="J89" s="21">
        <f>J91+J92+J93+J98</f>
        <v>76570</v>
      </c>
    </row>
    <row r="90" spans="2:10" x14ac:dyDescent="0.25">
      <c r="B90" s="27" t="s">
        <v>67</v>
      </c>
      <c r="C90" s="5" t="s">
        <v>44</v>
      </c>
      <c r="D90" s="4">
        <v>18</v>
      </c>
      <c r="E90" s="4">
        <v>1500</v>
      </c>
      <c r="F90" s="4">
        <v>3000</v>
      </c>
      <c r="G90" s="4">
        <v>13</v>
      </c>
      <c r="H90" s="4" t="s">
        <v>10</v>
      </c>
      <c r="I90" s="9">
        <f>4200*$J$73</f>
        <v>4200</v>
      </c>
      <c r="J90" s="21">
        <f>I90*G90</f>
        <v>54600</v>
      </c>
    </row>
    <row r="91" spans="2:10" x14ac:dyDescent="0.25">
      <c r="B91" s="27" t="s">
        <v>68</v>
      </c>
      <c r="C91" s="5" t="s">
        <v>59</v>
      </c>
      <c r="D91" s="4"/>
      <c r="E91" s="4"/>
      <c r="F91" s="4"/>
      <c r="G91" s="4">
        <f>G117+6*2*0.2+9.3*2*0.2</f>
        <v>6.120000000000001</v>
      </c>
      <c r="H91" s="4" t="s">
        <v>60</v>
      </c>
      <c r="I91" s="4">
        <f>150*$J$73</f>
        <v>150</v>
      </c>
      <c r="J91" s="8">
        <f>I91*G91</f>
        <v>918.00000000000011</v>
      </c>
    </row>
    <row r="92" spans="2:10" x14ac:dyDescent="0.25">
      <c r="B92" s="27" t="s">
        <v>69</v>
      </c>
      <c r="C92" s="5" t="s">
        <v>61</v>
      </c>
      <c r="D92" s="4"/>
      <c r="E92" s="4"/>
      <c r="F92" s="4"/>
      <c r="G92" s="4">
        <v>2</v>
      </c>
      <c r="H92" s="4" t="s">
        <v>10</v>
      </c>
      <c r="I92" s="9">
        <f>600*$J$73</f>
        <v>600</v>
      </c>
      <c r="J92" s="23">
        <f>I92*G92</f>
        <v>1200</v>
      </c>
    </row>
    <row r="93" spans="2:10" x14ac:dyDescent="0.25">
      <c r="B93" s="27" t="s">
        <v>84</v>
      </c>
      <c r="C93" s="24" t="s">
        <v>52</v>
      </c>
      <c r="D93" s="5"/>
      <c r="E93" s="4"/>
      <c r="F93" s="4"/>
      <c r="G93" s="4">
        <f>G118+6*2*0.2+9.3*2*0.2</f>
        <v>57.42</v>
      </c>
      <c r="H93" s="4" t="s">
        <v>19</v>
      </c>
      <c r="I93" s="4">
        <f>600*$J$73</f>
        <v>600</v>
      </c>
      <c r="J93" s="8">
        <f>I93*G93</f>
        <v>34452</v>
      </c>
    </row>
    <row r="94" spans="2:10" x14ac:dyDescent="0.25">
      <c r="B94" s="4"/>
      <c r="C94" s="25" t="s">
        <v>53</v>
      </c>
      <c r="D94" s="4"/>
      <c r="E94" s="4"/>
      <c r="F94" s="4"/>
      <c r="G94" s="4"/>
      <c r="H94" s="4"/>
      <c r="I94" s="4"/>
      <c r="J94" s="8"/>
    </row>
    <row r="95" spans="2:10" x14ac:dyDescent="0.25">
      <c r="B95" s="4"/>
      <c r="C95" s="25" t="s">
        <v>54</v>
      </c>
      <c r="D95" s="5"/>
      <c r="E95" s="4"/>
      <c r="F95" s="4"/>
      <c r="G95" s="4"/>
      <c r="H95" s="4"/>
      <c r="I95" s="4"/>
      <c r="J95" s="4"/>
    </row>
    <row r="96" spans="2:10" x14ac:dyDescent="0.25">
      <c r="B96" s="4"/>
      <c r="C96" s="25" t="s">
        <v>55</v>
      </c>
      <c r="D96" s="5"/>
      <c r="E96" s="4"/>
      <c r="F96" s="4"/>
      <c r="G96" s="4"/>
      <c r="H96" s="4"/>
      <c r="I96" s="4"/>
      <c r="J96" s="4"/>
    </row>
    <row r="97" spans="2:10" x14ac:dyDescent="0.25">
      <c r="B97" s="4"/>
      <c r="C97" s="25" t="s">
        <v>56</v>
      </c>
      <c r="D97" s="5"/>
      <c r="E97" s="4"/>
      <c r="F97" s="4"/>
      <c r="G97" s="4"/>
      <c r="H97" s="4"/>
      <c r="I97" s="4"/>
      <c r="J97" s="4"/>
    </row>
    <row r="98" spans="2:10" x14ac:dyDescent="0.25">
      <c r="B98" s="27" t="s">
        <v>85</v>
      </c>
      <c r="C98" s="5" t="s">
        <v>51</v>
      </c>
      <c r="D98" s="4"/>
      <c r="E98" s="4"/>
      <c r="F98" s="4"/>
      <c r="G98" s="10">
        <v>1</v>
      </c>
      <c r="H98" s="4" t="s">
        <v>10</v>
      </c>
      <c r="I98" s="9">
        <f>40000*$J$73</f>
        <v>40000</v>
      </c>
      <c r="J98" s="8">
        <f>I98*G98</f>
        <v>40000</v>
      </c>
    </row>
    <row r="99" spans="2:10" x14ac:dyDescent="0.25">
      <c r="B99" s="62"/>
      <c r="C99" s="63"/>
      <c r="D99" s="63"/>
      <c r="E99" s="63"/>
      <c r="F99" s="63"/>
      <c r="G99" s="63"/>
      <c r="H99" s="63"/>
      <c r="I99" s="63"/>
      <c r="J99" s="64"/>
    </row>
    <row r="100" spans="2:10" ht="30" x14ac:dyDescent="0.25">
      <c r="B100" s="4">
        <v>4</v>
      </c>
      <c r="C100" s="36" t="s">
        <v>103</v>
      </c>
      <c r="D100" s="30">
        <v>30</v>
      </c>
      <c r="E100" s="30"/>
      <c r="F100" s="30"/>
      <c r="G100" s="30">
        <f>ROUNDUP(G118*D100*0.001,2)</f>
        <v>1.54</v>
      </c>
      <c r="H100" s="30" t="s">
        <v>30</v>
      </c>
      <c r="I100" s="30"/>
      <c r="J100" s="21">
        <f>J101+J102+J103+J104</f>
        <v>29788.3</v>
      </c>
    </row>
    <row r="101" spans="2:10" ht="30" x14ac:dyDescent="0.25">
      <c r="B101" s="27" t="s">
        <v>86</v>
      </c>
      <c r="C101" s="17" t="s">
        <v>31</v>
      </c>
      <c r="D101" s="4"/>
      <c r="E101" s="4"/>
      <c r="F101" s="4"/>
      <c r="G101" s="4">
        <f>(20*G118*D100*0.1)/40</f>
        <v>76.95</v>
      </c>
      <c r="H101" s="4" t="s">
        <v>10</v>
      </c>
      <c r="I101" s="38">
        <f>310*$J$73</f>
        <v>310</v>
      </c>
      <c r="J101" s="8">
        <f>I101*G101</f>
        <v>23854.5</v>
      </c>
    </row>
    <row r="102" spans="2:10" x14ac:dyDescent="0.25">
      <c r="B102" s="27" t="s">
        <v>87</v>
      </c>
      <c r="C102" s="5" t="s">
        <v>35</v>
      </c>
      <c r="D102" s="4">
        <v>10</v>
      </c>
      <c r="E102" s="4"/>
      <c r="F102" s="4">
        <v>3000</v>
      </c>
      <c r="G102" s="4">
        <v>14</v>
      </c>
      <c r="H102" s="4" t="s">
        <v>10</v>
      </c>
      <c r="I102" s="38">
        <f>52*$J$73</f>
        <v>52</v>
      </c>
      <c r="J102" s="8">
        <f>I102*G102</f>
        <v>728</v>
      </c>
    </row>
    <row r="103" spans="2:10" ht="30" x14ac:dyDescent="0.25">
      <c r="B103" s="27" t="s">
        <v>109</v>
      </c>
      <c r="C103" s="5" t="s">
        <v>126</v>
      </c>
      <c r="D103" s="4">
        <v>50</v>
      </c>
      <c r="E103" s="4"/>
      <c r="F103" s="4"/>
      <c r="G103" s="4">
        <v>29.4</v>
      </c>
      <c r="H103" s="4" t="s">
        <v>125</v>
      </c>
      <c r="I103" s="4">
        <v>7</v>
      </c>
      <c r="J103" s="8">
        <f>I103*G103</f>
        <v>205.79999999999998</v>
      </c>
    </row>
    <row r="104" spans="2:10" x14ac:dyDescent="0.25">
      <c r="B104" s="27" t="s">
        <v>127</v>
      </c>
      <c r="C104" s="5" t="s">
        <v>72</v>
      </c>
      <c r="D104" s="4"/>
      <c r="E104" s="4"/>
      <c r="F104" s="4"/>
      <c r="G104" s="10">
        <v>1</v>
      </c>
      <c r="H104" s="4" t="s">
        <v>10</v>
      </c>
      <c r="I104" s="9">
        <f>5000*$J$73</f>
        <v>5000</v>
      </c>
      <c r="J104" s="8">
        <f t="shared" ref="J104" si="10">I104*G104</f>
        <v>5000</v>
      </c>
    </row>
    <row r="105" spans="2:10" ht="15" customHeight="1" x14ac:dyDescent="0.25">
      <c r="B105" s="62"/>
      <c r="C105" s="63"/>
      <c r="D105" s="63"/>
      <c r="E105" s="63"/>
      <c r="F105" s="63"/>
      <c r="G105" s="63"/>
      <c r="H105" s="63"/>
      <c r="I105" s="63"/>
      <c r="J105" s="64"/>
    </row>
    <row r="106" spans="2:10" ht="15" customHeight="1" x14ac:dyDescent="0.25">
      <c r="B106" s="4">
        <v>5</v>
      </c>
      <c r="C106" s="22" t="s">
        <v>104</v>
      </c>
      <c r="D106" s="30"/>
      <c r="E106" s="4"/>
      <c r="F106" s="4"/>
      <c r="G106" s="30"/>
      <c r="H106" s="30"/>
      <c r="I106" s="4"/>
      <c r="J106" s="21">
        <f>J107+J108+J109+J110</f>
        <v>243077.6</v>
      </c>
    </row>
    <row r="107" spans="2:10" ht="15" customHeight="1" x14ac:dyDescent="0.25">
      <c r="B107" s="33" t="s">
        <v>88</v>
      </c>
      <c r="C107" s="18" t="s">
        <v>94</v>
      </c>
      <c r="D107" s="9">
        <v>200</v>
      </c>
      <c r="E107" s="9">
        <v>600</v>
      </c>
      <c r="F107" s="9">
        <v>1200</v>
      </c>
      <c r="G107" s="9">
        <f>ROUNDUP(G118*D107*0.001*1.05,2)</f>
        <v>10.78</v>
      </c>
      <c r="H107" s="9" t="s">
        <v>30</v>
      </c>
      <c r="I107" s="9">
        <f>21000*$J$73</f>
        <v>21000</v>
      </c>
      <c r="J107" s="20">
        <f t="shared" ref="J107:J110" si="11">I107*G107</f>
        <v>226380</v>
      </c>
    </row>
    <row r="108" spans="2:10" ht="15" customHeight="1" x14ac:dyDescent="0.25">
      <c r="B108" s="33" t="s">
        <v>89</v>
      </c>
      <c r="C108" s="18" t="s">
        <v>105</v>
      </c>
      <c r="D108" s="9"/>
      <c r="E108" s="9">
        <v>1500</v>
      </c>
      <c r="F108" s="9">
        <v>50000</v>
      </c>
      <c r="G108" s="9">
        <f>1.5*9.1*4+9.1*0.4</f>
        <v>58.239999999999995</v>
      </c>
      <c r="H108" s="9" t="s">
        <v>19</v>
      </c>
      <c r="I108" s="9">
        <f>90*$J$73</f>
        <v>90</v>
      </c>
      <c r="J108" s="20">
        <f t="shared" si="11"/>
        <v>5241.5999999999995</v>
      </c>
    </row>
    <row r="109" spans="2:10" ht="15" customHeight="1" x14ac:dyDescent="0.25">
      <c r="B109" s="33" t="s">
        <v>106</v>
      </c>
      <c r="C109" s="18" t="s">
        <v>96</v>
      </c>
      <c r="D109" s="9"/>
      <c r="E109" s="9">
        <v>1500</v>
      </c>
      <c r="F109" s="9">
        <v>46000</v>
      </c>
      <c r="G109" s="9">
        <f>1.5*9.1*4+9.1*0.4</f>
        <v>58.239999999999995</v>
      </c>
      <c r="H109" s="9" t="s">
        <v>19</v>
      </c>
      <c r="I109" s="9">
        <f>25*$J$73</f>
        <v>25</v>
      </c>
      <c r="J109" s="20">
        <f t="shared" si="11"/>
        <v>1455.9999999999998</v>
      </c>
    </row>
    <row r="110" spans="2:10" ht="15" customHeight="1" x14ac:dyDescent="0.25">
      <c r="B110" s="27" t="s">
        <v>108</v>
      </c>
      <c r="C110" s="5" t="s">
        <v>72</v>
      </c>
      <c r="D110" s="4"/>
      <c r="E110" s="4"/>
      <c r="F110" s="4"/>
      <c r="G110" s="10">
        <v>1</v>
      </c>
      <c r="H110" s="4" t="s">
        <v>10</v>
      </c>
      <c r="I110" s="9">
        <f>10000*$J$73</f>
        <v>10000</v>
      </c>
      <c r="J110" s="8">
        <f t="shared" si="11"/>
        <v>10000</v>
      </c>
    </row>
    <row r="111" spans="2:10" ht="15" customHeight="1" x14ac:dyDescent="0.25">
      <c r="B111" s="62"/>
      <c r="C111" s="63"/>
      <c r="D111" s="63"/>
      <c r="E111" s="63"/>
      <c r="F111" s="63"/>
      <c r="G111" s="63"/>
      <c r="H111" s="63"/>
      <c r="I111" s="63"/>
      <c r="J111" s="64"/>
    </row>
    <row r="112" spans="2:10" ht="30" x14ac:dyDescent="0.25">
      <c r="B112" s="4">
        <v>6</v>
      </c>
      <c r="C112" s="36" t="s">
        <v>114</v>
      </c>
      <c r="D112" s="30">
        <v>50</v>
      </c>
      <c r="E112" s="4"/>
      <c r="F112" s="4"/>
      <c r="G112" s="30">
        <f>ROUNDUP(G118*D112*0.001,2)</f>
        <v>2.57</v>
      </c>
      <c r="H112" s="30" t="s">
        <v>30</v>
      </c>
      <c r="I112" s="4"/>
      <c r="J112" s="21">
        <f>J113+J114+J115+J116</f>
        <v>55468</v>
      </c>
    </row>
    <row r="113" spans="2:10" ht="30" x14ac:dyDescent="0.25">
      <c r="B113" s="27" t="s">
        <v>110</v>
      </c>
      <c r="C113" s="17" t="s">
        <v>31</v>
      </c>
      <c r="D113" s="4"/>
      <c r="E113" s="4"/>
      <c r="F113" s="4"/>
      <c r="G113" s="4">
        <f>ROUNDUP((20*G118*D112*0.1)/40,0)</f>
        <v>129</v>
      </c>
      <c r="H113" s="4" t="s">
        <v>10</v>
      </c>
      <c r="I113" s="4">
        <f>310*$J$73</f>
        <v>310</v>
      </c>
      <c r="J113" s="8">
        <f>I113*G113</f>
        <v>39990</v>
      </c>
    </row>
    <row r="114" spans="2:10" x14ac:dyDescent="0.25">
      <c r="B114" s="27" t="s">
        <v>111</v>
      </c>
      <c r="C114" s="5" t="s">
        <v>107</v>
      </c>
      <c r="D114" s="4"/>
      <c r="E114" s="4"/>
      <c r="F114" s="4"/>
      <c r="G114" s="19">
        <f>ROUNDUP(1.05*521*0.222*0.001,2)</f>
        <v>0.13</v>
      </c>
      <c r="H114" s="4" t="s">
        <v>45</v>
      </c>
      <c r="I114" s="4">
        <f>75000*$J$73</f>
        <v>75000</v>
      </c>
      <c r="J114" s="8">
        <f>I114*G114</f>
        <v>9750</v>
      </c>
    </row>
    <row r="115" spans="2:10" x14ac:dyDescent="0.25">
      <c r="B115" s="27" t="s">
        <v>112</v>
      </c>
      <c r="C115" s="5" t="s">
        <v>35</v>
      </c>
      <c r="D115" s="4">
        <v>10</v>
      </c>
      <c r="E115" s="4"/>
      <c r="F115" s="4">
        <v>3000</v>
      </c>
      <c r="G115" s="4">
        <v>14</v>
      </c>
      <c r="H115" s="4" t="s">
        <v>10</v>
      </c>
      <c r="I115" s="4">
        <f>52*$J$73</f>
        <v>52</v>
      </c>
      <c r="J115" s="8">
        <f>I115*G115</f>
        <v>728</v>
      </c>
    </row>
    <row r="116" spans="2:10" x14ac:dyDescent="0.25">
      <c r="B116" s="27" t="s">
        <v>113</v>
      </c>
      <c r="C116" s="5" t="s">
        <v>72</v>
      </c>
      <c r="D116" s="4"/>
      <c r="E116" s="4"/>
      <c r="F116" s="4"/>
      <c r="G116" s="10">
        <v>1</v>
      </c>
      <c r="H116" s="4" t="s">
        <v>10</v>
      </c>
      <c r="I116" s="9">
        <f>5000*$J$73</f>
        <v>5000</v>
      </c>
      <c r="J116" s="8">
        <f t="shared" ref="J116" si="12">I116*G116</f>
        <v>5000</v>
      </c>
    </row>
    <row r="117" spans="2:10" ht="15.75" x14ac:dyDescent="0.25">
      <c r="B117" s="89" t="s">
        <v>25</v>
      </c>
      <c r="C117" s="90"/>
      <c r="D117" s="90"/>
      <c r="E117" s="90"/>
      <c r="F117" s="90"/>
      <c r="G117" s="90"/>
      <c r="H117" s="90"/>
      <c r="I117" s="91"/>
      <c r="J117" s="11">
        <f>J75+J76+J77+J78+J79+J85+J86+J87+J91+J92+J98+J82+J83+J84+J93+J100+J101+J102+J103+J104+J107+J108+J109+J110+J113+J114+J115+J116</f>
        <v>661486.80737499997</v>
      </c>
    </row>
    <row r="118" spans="2:10" ht="15.75" x14ac:dyDescent="0.25">
      <c r="B118" s="13" t="s">
        <v>26</v>
      </c>
      <c r="C118" s="14"/>
      <c r="D118" s="14"/>
      <c r="E118" s="15">
        <v>5.7</v>
      </c>
      <c r="F118" s="15">
        <v>9</v>
      </c>
      <c r="G118" s="15">
        <f>E118*F118</f>
        <v>51.300000000000004</v>
      </c>
      <c r="H118" s="15" t="s">
        <v>19</v>
      </c>
      <c r="I118" s="13"/>
      <c r="J118" s="12"/>
    </row>
    <row r="119" spans="2:10" ht="15.75" x14ac:dyDescent="0.25">
      <c r="B119" s="92" t="s">
        <v>27</v>
      </c>
      <c r="C119" s="93"/>
      <c r="D119" s="93"/>
      <c r="E119" s="93"/>
      <c r="F119" s="93"/>
      <c r="G119" s="93"/>
      <c r="H119" s="93"/>
      <c r="I119" s="94"/>
      <c r="J119" s="16">
        <f>J117/G118</f>
        <v>12894.479675925924</v>
      </c>
    </row>
  </sheetData>
  <mergeCells count="55">
    <mergeCell ref="B119:I119"/>
    <mergeCell ref="B30:J30"/>
    <mergeCell ref="J71:J72"/>
    <mergeCell ref="K71:K72"/>
    <mergeCell ref="B73:I73"/>
    <mergeCell ref="B80:J80"/>
    <mergeCell ref="B88:J88"/>
    <mergeCell ref="B99:J99"/>
    <mergeCell ref="B71:B72"/>
    <mergeCell ref="C71:C72"/>
    <mergeCell ref="D71:F71"/>
    <mergeCell ref="G71:G72"/>
    <mergeCell ref="H71:H72"/>
    <mergeCell ref="I71:I72"/>
    <mergeCell ref="B63:I63"/>
    <mergeCell ref="B65:I65"/>
    <mergeCell ref="B67:J67"/>
    <mergeCell ref="B68:J68"/>
    <mergeCell ref="B117:I117"/>
    <mergeCell ref="C41:C42"/>
    <mergeCell ref="D41:F41"/>
    <mergeCell ref="G41:G42"/>
    <mergeCell ref="H41:H42"/>
    <mergeCell ref="B56:J56"/>
    <mergeCell ref="B105:J105"/>
    <mergeCell ref="B111:J111"/>
    <mergeCell ref="B50:J50"/>
    <mergeCell ref="B43:I43"/>
    <mergeCell ref="B69:J69"/>
    <mergeCell ref="B70:J70"/>
    <mergeCell ref="B2:J2"/>
    <mergeCell ref="B3:J3"/>
    <mergeCell ref="B6:B7"/>
    <mergeCell ref="C6:C7"/>
    <mergeCell ref="D6:F6"/>
    <mergeCell ref="G6:G7"/>
    <mergeCell ref="H6:H7"/>
    <mergeCell ref="I6:I7"/>
    <mergeCell ref="J6:J7"/>
    <mergeCell ref="B4:J4"/>
    <mergeCell ref="B5:J5"/>
    <mergeCell ref="K6:K7"/>
    <mergeCell ref="B8:I8"/>
    <mergeCell ref="B14:J14"/>
    <mergeCell ref="I41:I42"/>
    <mergeCell ref="J41:J42"/>
    <mergeCell ref="K41:K42"/>
    <mergeCell ref="B24:J24"/>
    <mergeCell ref="B33:I33"/>
    <mergeCell ref="B35:I35"/>
    <mergeCell ref="B37:J37"/>
    <mergeCell ref="B38:J38"/>
    <mergeCell ref="B41:B42"/>
    <mergeCell ref="B39:J39"/>
    <mergeCell ref="B40:J40"/>
  </mergeCells>
  <hyperlinks>
    <hyperlink ref="B5" r:id="rId1" xr:uid="{00000000-0004-0000-0100-000000000000}"/>
    <hyperlink ref="B40" r:id="rId2" xr:uid="{00000000-0004-0000-0100-000001000000}"/>
    <hyperlink ref="B70" r:id="rId3" xr:uid="{00000000-0004-0000-0100-000002000000}"/>
  </hyperlinks>
  <pageMargins left="0.7" right="0.7" top="0.75" bottom="0.75" header="0.3" footer="0.3"/>
  <pageSetup paperSize="9" orientation="portrait" r:id="rId4"/>
  <drawing r:id="rId5"/>
  <legacy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D14"/>
  <sheetViews>
    <sheetView showGridLines="0" zoomScaleNormal="100" workbookViewId="0">
      <selection activeCell="D7" sqref="D7"/>
    </sheetView>
  </sheetViews>
  <sheetFormatPr defaultRowHeight="15" x14ac:dyDescent="0.25"/>
  <cols>
    <col min="2" max="4" width="50.7109375" customWidth="1"/>
  </cols>
  <sheetData>
    <row r="3" spans="2:4" ht="30" customHeight="1" x14ac:dyDescent="0.25">
      <c r="B3" s="95" t="s">
        <v>160</v>
      </c>
      <c r="C3" s="95"/>
      <c r="D3" s="95"/>
    </row>
    <row r="4" spans="2:4" ht="24.95" customHeight="1" x14ac:dyDescent="0.25">
      <c r="B4" s="43" t="s">
        <v>161</v>
      </c>
      <c r="C4" s="44" t="s">
        <v>163</v>
      </c>
      <c r="D4" s="45" t="s">
        <v>162</v>
      </c>
    </row>
    <row r="5" spans="2:4" ht="200.1" customHeight="1" x14ac:dyDescent="0.25">
      <c r="B5" s="1"/>
      <c r="C5" s="1"/>
      <c r="D5" s="1"/>
    </row>
    <row r="6" spans="2:4" ht="24.95" customHeight="1" x14ac:dyDescent="0.25">
      <c r="B6" s="46" t="s">
        <v>164</v>
      </c>
      <c r="C6" s="46" t="s">
        <v>166</v>
      </c>
      <c r="D6" s="46" t="s">
        <v>168</v>
      </c>
    </row>
    <row r="7" spans="2:4" ht="24.95" customHeight="1" x14ac:dyDescent="0.25">
      <c r="B7" s="47" t="s">
        <v>165</v>
      </c>
      <c r="C7" s="47" t="s">
        <v>167</v>
      </c>
      <c r="D7" s="47" t="s">
        <v>169</v>
      </c>
    </row>
    <row r="10" spans="2:4" ht="30" customHeight="1" x14ac:dyDescent="0.25">
      <c r="B10" s="95" t="s">
        <v>170</v>
      </c>
      <c r="C10" s="95"/>
      <c r="D10" s="95"/>
    </row>
    <row r="11" spans="2:4" ht="24.95" customHeight="1" x14ac:dyDescent="0.25">
      <c r="B11" s="43" t="s">
        <v>161</v>
      </c>
      <c r="C11" s="44" t="s">
        <v>163</v>
      </c>
      <c r="D11" s="45" t="s">
        <v>162</v>
      </c>
    </row>
    <row r="12" spans="2:4" ht="200.1" customHeight="1" x14ac:dyDescent="0.25">
      <c r="B12" s="1"/>
      <c r="C12" s="1"/>
      <c r="D12" s="1"/>
    </row>
    <row r="13" spans="2:4" ht="24.95" customHeight="1" x14ac:dyDescent="0.25">
      <c r="B13" s="46" t="s">
        <v>171</v>
      </c>
      <c r="C13" s="46" t="s">
        <v>173</v>
      </c>
      <c r="D13" s="46" t="s">
        <v>175</v>
      </c>
    </row>
    <row r="14" spans="2:4" ht="24.95" customHeight="1" x14ac:dyDescent="0.25">
      <c r="B14" s="47" t="s">
        <v>172</v>
      </c>
      <c r="C14" s="47" t="s">
        <v>174</v>
      </c>
      <c r="D14" s="47" t="s">
        <v>176</v>
      </c>
    </row>
  </sheetData>
  <sheetProtection algorithmName="SHA-512" hashValue="2P8G1n8gSU9BA4z07YPPEORe8Uey9VlQ8BLan0lIawBLiS88XYRHrAmklMKO1uikTnlGD+pmCfy8AskaFyKqhg==" saltValue="2jl32ufNGLFU+Bq3ct2+fQ==" spinCount="100000" sheet="1" objects="1" scenarios="1"/>
  <mergeCells count="2">
    <mergeCell ref="B3:D3"/>
    <mergeCell ref="B10:D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Холодное перекрытие</vt:lpstr>
      <vt:lpstr>Тёплое перекрытие</vt:lpstr>
      <vt:lpstr>Стоимость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Гарушин Игорь Станиславович</dc:creator>
  <cp:lastModifiedBy>Igor</cp:lastModifiedBy>
  <dcterms:created xsi:type="dcterms:W3CDTF">2023-11-02T12:20:35Z</dcterms:created>
  <dcterms:modified xsi:type="dcterms:W3CDTF">2024-01-16T19:18:48Z</dcterms:modified>
</cp:coreProperties>
</file>